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nysemail.sharepoint.com/teams/dot.365.nymtc.admin.contracts.invoices/Shared Documents/Contracts Management/UPWP IT C000797/RFP Development/RFP Package/"/>
    </mc:Choice>
  </mc:AlternateContent>
  <xr:revisionPtr revIDLastSave="836" documentId="8_{BA0479AD-D404-4B4E-85F4-6F66F8ABD27C}" xr6:coauthVersionLast="45" xr6:coauthVersionMax="45" xr10:uidLastSave="{445327BC-CABD-40FA-8556-E44464699693}"/>
  <bookViews>
    <workbookView xWindow="-120" yWindow="-120" windowWidth="29040" windowHeight="15840" firstSheet="22" activeTab="26" xr2:uid="{921E61D7-79D9-42B1-BB61-AF9D7BB69491}"/>
  </bookViews>
  <sheets>
    <sheet name="Cover Page" sheetId="36" r:id="rId1"/>
    <sheet name="Revenue (YR1)" sheetId="11" r:id="rId2"/>
    <sheet name="Projects(YR1)" sheetId="2" r:id="rId3"/>
    <sheet name="Staff(YR1)" sheetId="1" r:id="rId4"/>
    <sheet name="Staff Alloc By Project(YR1)" sheetId="3" r:id="rId5"/>
    <sheet name="Direct Expenses(YR1)" sheetId="4" r:id="rId6"/>
    <sheet name="Support Costs(YR1)" sheetId="6" r:id="rId7"/>
    <sheet name="Consultant(YR1)" sheetId="25" r:id="rId8"/>
    <sheet name="Budget(YR1)" sheetId="9" r:id="rId9"/>
    <sheet name="ConsultantCharges(YR1)" sheetId="16" r:id="rId10"/>
    <sheet name="InvoicesCharges(YR1)" sheetId="10" r:id="rId11"/>
    <sheet name="Progress Report (YR1)" sheetId="35" r:id="rId12"/>
    <sheet name="Remaining Balance(YR1)" sheetId="13" r:id="rId13"/>
    <sheet name="Summary Remaining Balance (YR1)" sheetId="14" r:id="rId14"/>
    <sheet name="Remaining Balance Consult (Yr1)" sheetId="26" r:id="rId15"/>
    <sheet name="Revenue (YR2)" sheetId="18" r:id="rId16"/>
    <sheet name="Project(Yr2)" sheetId="19" r:id="rId17"/>
    <sheet name="Staff(Yr2)" sheetId="21" r:id="rId18"/>
    <sheet name="Staff Allo By Project YR2" sheetId="22" r:id="rId19"/>
    <sheet name="Direct Expenses (Yr2)" sheetId="23" r:id="rId20"/>
    <sheet name="Support Costs(YR2)" sheetId="24" r:id="rId21"/>
    <sheet name="Consultant(YR2)" sheetId="7" r:id="rId22"/>
    <sheet name="Budget(YR2)" sheetId="27" r:id="rId23"/>
    <sheet name="ConsultantCharges(YR2)" sheetId="28" r:id="rId24"/>
    <sheet name="InvoicesCharges(YR2)" sheetId="29" r:id="rId25"/>
    <sheet name="Project Reports (Yr2)" sheetId="34" r:id="rId26"/>
    <sheet name="Balance Remaining (yr2)" sheetId="31" r:id="rId27"/>
    <sheet name="Balance Remaining Consult (yr2)" sheetId="32" r:id="rId2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23" l="1"/>
  <c r="I8" i="25" l="1"/>
  <c r="J8" i="25"/>
  <c r="E18" i="24" l="1"/>
  <c r="I8" i="26"/>
  <c r="J8" i="26"/>
  <c r="E8" i="26"/>
  <c r="C5" i="14"/>
  <c r="D5" i="14"/>
  <c r="E5" i="14"/>
  <c r="E23" i="13"/>
  <c r="F23" i="13"/>
  <c r="G23" i="13"/>
  <c r="H23" i="13"/>
  <c r="I23" i="13"/>
  <c r="J23" i="13"/>
  <c r="D23" i="13"/>
  <c r="E23" i="10"/>
  <c r="F23" i="10"/>
  <c r="G23" i="10"/>
  <c r="H23" i="10"/>
  <c r="I23" i="10"/>
  <c r="J23" i="10"/>
  <c r="D23" i="10"/>
  <c r="I8" i="16"/>
  <c r="J8" i="16"/>
  <c r="E23" i="9"/>
  <c r="F23" i="9"/>
  <c r="G23" i="9"/>
  <c r="H23" i="9"/>
  <c r="I23" i="9"/>
  <c r="J23" i="9"/>
  <c r="K23" i="9"/>
  <c r="F8" i="25"/>
  <c r="E18" i="6"/>
  <c r="E23" i="4"/>
  <c r="E22" i="3"/>
  <c r="D22" i="3"/>
  <c r="B4" i="11"/>
  <c r="D22" i="22"/>
  <c r="E23" i="23"/>
  <c r="J29" i="27"/>
  <c r="K29" i="27"/>
  <c r="J7" i="28"/>
  <c r="K7" i="28"/>
  <c r="E29" i="29"/>
  <c r="F29" i="29"/>
  <c r="J29" i="29"/>
  <c r="K29" i="29"/>
  <c r="D29" i="29"/>
  <c r="G2" i="29" l="1"/>
  <c r="G3" i="29"/>
  <c r="G4" i="29"/>
  <c r="G5" i="29"/>
  <c r="G6" i="29"/>
  <c r="G7" i="29"/>
  <c r="G10" i="29"/>
  <c r="G11" i="29"/>
  <c r="G12" i="29"/>
  <c r="G13" i="29"/>
  <c r="G14" i="29"/>
  <c r="G15" i="29"/>
  <c r="G16" i="29"/>
  <c r="G18" i="29"/>
  <c r="G20" i="29"/>
  <c r="G21" i="29"/>
  <c r="G22" i="29"/>
  <c r="G23" i="29"/>
  <c r="G24" i="29"/>
  <c r="G26" i="29"/>
  <c r="G27" i="29"/>
  <c r="G28" i="29"/>
  <c r="E11" i="24" l="1"/>
  <c r="J3" i="31"/>
  <c r="K3" i="31"/>
  <c r="J4" i="31"/>
  <c r="K4" i="31"/>
  <c r="J5" i="31"/>
  <c r="K5" i="31"/>
  <c r="J6" i="31"/>
  <c r="K6" i="31"/>
  <c r="J7" i="31"/>
  <c r="K7" i="31"/>
  <c r="J8" i="31"/>
  <c r="K8" i="31"/>
  <c r="J9" i="31"/>
  <c r="K9" i="31"/>
  <c r="J10" i="31"/>
  <c r="K10" i="31"/>
  <c r="J11" i="31"/>
  <c r="K11" i="31"/>
  <c r="J12" i="31"/>
  <c r="K12" i="31"/>
  <c r="J13" i="31"/>
  <c r="K13" i="31"/>
  <c r="J14" i="31"/>
  <c r="K14" i="31"/>
  <c r="J15" i="31"/>
  <c r="K15" i="31"/>
  <c r="J16" i="31"/>
  <c r="K16" i="31"/>
  <c r="J17" i="31"/>
  <c r="K17" i="31"/>
  <c r="J18" i="31"/>
  <c r="K18" i="31"/>
  <c r="J19" i="31"/>
  <c r="K19" i="31"/>
  <c r="J20" i="31"/>
  <c r="K20" i="31"/>
  <c r="J21" i="31"/>
  <c r="K21" i="31"/>
  <c r="J22" i="31"/>
  <c r="K22" i="31"/>
  <c r="J23" i="31"/>
  <c r="K23" i="31"/>
  <c r="J24" i="31"/>
  <c r="K24" i="31"/>
  <c r="J25" i="31"/>
  <c r="K25" i="31"/>
  <c r="J26" i="31"/>
  <c r="K26" i="31"/>
  <c r="J27" i="31"/>
  <c r="K27" i="31"/>
  <c r="J28" i="31"/>
  <c r="K28" i="31"/>
  <c r="J2" i="31"/>
  <c r="K2" i="31"/>
  <c r="M28" i="29"/>
  <c r="M28" i="31" s="1"/>
  <c r="M27" i="29"/>
  <c r="M3" i="29"/>
  <c r="M4" i="29"/>
  <c r="M5" i="29"/>
  <c r="M6" i="29"/>
  <c r="M7" i="29"/>
  <c r="M8" i="29"/>
  <c r="M10" i="29"/>
  <c r="M11" i="29"/>
  <c r="M12" i="29"/>
  <c r="M13" i="29"/>
  <c r="M14" i="29"/>
  <c r="M15" i="29"/>
  <c r="M16" i="29"/>
  <c r="M17" i="29"/>
  <c r="M18" i="29"/>
  <c r="M20" i="29"/>
  <c r="M21" i="29"/>
  <c r="M22" i="29"/>
  <c r="M23" i="29"/>
  <c r="M24" i="29"/>
  <c r="M25" i="29"/>
  <c r="M26" i="29"/>
  <c r="M2" i="29"/>
  <c r="L2" i="29"/>
  <c r="L3" i="29"/>
  <c r="L4" i="29"/>
  <c r="L5" i="29"/>
  <c r="L6" i="29"/>
  <c r="L7" i="29"/>
  <c r="L8" i="29"/>
  <c r="L10" i="29"/>
  <c r="L11" i="29"/>
  <c r="L12" i="29"/>
  <c r="L13" i="29"/>
  <c r="L14" i="29"/>
  <c r="L15" i="29"/>
  <c r="L16" i="29"/>
  <c r="L17" i="29"/>
  <c r="L18" i="29"/>
  <c r="L20" i="29"/>
  <c r="L21" i="29"/>
  <c r="L22" i="29"/>
  <c r="L23" i="29"/>
  <c r="L24" i="29"/>
  <c r="L25" i="29"/>
  <c r="L26" i="29"/>
  <c r="L27" i="29"/>
  <c r="L28" i="29"/>
  <c r="I2" i="29"/>
  <c r="I3" i="29"/>
  <c r="I4" i="29"/>
  <c r="I5" i="29"/>
  <c r="I6" i="29"/>
  <c r="I7" i="29"/>
  <c r="I9" i="29"/>
  <c r="I10" i="29"/>
  <c r="I11" i="29"/>
  <c r="I12" i="29"/>
  <c r="I13" i="29"/>
  <c r="I14" i="29"/>
  <c r="I15" i="29"/>
  <c r="I16" i="29"/>
  <c r="I18" i="29"/>
  <c r="I19" i="29"/>
  <c r="I20" i="29"/>
  <c r="I21" i="29"/>
  <c r="I22" i="29"/>
  <c r="I23" i="29"/>
  <c r="I24" i="29"/>
  <c r="I26" i="29"/>
  <c r="I27" i="29"/>
  <c r="I28" i="29"/>
  <c r="H2" i="29"/>
  <c r="H3" i="29"/>
  <c r="H4" i="29"/>
  <c r="H5" i="29"/>
  <c r="H6" i="29"/>
  <c r="H7" i="29"/>
  <c r="H9" i="29"/>
  <c r="H10" i="29"/>
  <c r="H11" i="29"/>
  <c r="H12" i="29"/>
  <c r="H13" i="29"/>
  <c r="H14" i="29"/>
  <c r="H15" i="29"/>
  <c r="H16" i="29"/>
  <c r="H18" i="29"/>
  <c r="H19" i="29"/>
  <c r="H20" i="29"/>
  <c r="H21" i="29"/>
  <c r="H22" i="29"/>
  <c r="H23" i="29"/>
  <c r="H24" i="29"/>
  <c r="H26" i="29"/>
  <c r="H27" i="29"/>
  <c r="H28" i="29"/>
  <c r="K29" i="31" l="1"/>
  <c r="J29" i="31"/>
  <c r="D27" i="31"/>
  <c r="K2" i="28"/>
  <c r="K3" i="28"/>
  <c r="K4" i="28"/>
  <c r="K5" i="28"/>
  <c r="K6" i="28"/>
  <c r="J3" i="28"/>
  <c r="J4" i="28"/>
  <c r="J5" i="28"/>
  <c r="J6" i="28"/>
  <c r="J2" i="28"/>
  <c r="E9" i="22"/>
  <c r="E10" i="22"/>
  <c r="E17" i="22"/>
  <c r="E18" i="22"/>
  <c r="E2" i="22"/>
  <c r="M2" i="27"/>
  <c r="M3" i="27"/>
  <c r="M3" i="31" s="1"/>
  <c r="M4" i="27"/>
  <c r="M4" i="31" s="1"/>
  <c r="M5" i="27"/>
  <c r="M5" i="31" s="1"/>
  <c r="M6" i="27"/>
  <c r="M6" i="31" s="1"/>
  <c r="M7" i="27"/>
  <c r="M7" i="31" s="1"/>
  <c r="M8" i="27"/>
  <c r="M8" i="31" s="1"/>
  <c r="M10" i="27"/>
  <c r="M10" i="31" s="1"/>
  <c r="M11" i="27"/>
  <c r="M11" i="31" s="1"/>
  <c r="M12" i="27"/>
  <c r="M12" i="31" s="1"/>
  <c r="M13" i="27"/>
  <c r="M13" i="31" s="1"/>
  <c r="M14" i="27"/>
  <c r="M14" i="31" s="1"/>
  <c r="M15" i="27"/>
  <c r="M15" i="31" s="1"/>
  <c r="M16" i="27"/>
  <c r="M16" i="31" s="1"/>
  <c r="M17" i="27"/>
  <c r="M17" i="31" s="1"/>
  <c r="M18" i="27"/>
  <c r="M18" i="31" s="1"/>
  <c r="M20" i="27"/>
  <c r="M20" i="31" s="1"/>
  <c r="M21" i="27"/>
  <c r="M21" i="31" s="1"/>
  <c r="M22" i="27"/>
  <c r="M22" i="31" s="1"/>
  <c r="M23" i="27"/>
  <c r="M23" i="31" s="1"/>
  <c r="M24" i="27"/>
  <c r="M24" i="31" s="1"/>
  <c r="M25" i="27"/>
  <c r="M25" i="31" s="1"/>
  <c r="M26" i="27"/>
  <c r="M26" i="31" s="1"/>
  <c r="M27" i="27"/>
  <c r="M27" i="31" s="1"/>
  <c r="L2" i="27"/>
  <c r="L2" i="31" s="1"/>
  <c r="L3" i="27"/>
  <c r="L3" i="31" s="1"/>
  <c r="L4" i="27"/>
  <c r="L4" i="31" s="1"/>
  <c r="L5" i="27"/>
  <c r="L5" i="31" s="1"/>
  <c r="L6" i="27"/>
  <c r="L6" i="31" s="1"/>
  <c r="L7" i="27"/>
  <c r="L7" i="31" s="1"/>
  <c r="L8" i="27"/>
  <c r="L8" i="31" s="1"/>
  <c r="L9" i="27"/>
  <c r="L10" i="27"/>
  <c r="L10" i="31" s="1"/>
  <c r="L11" i="27"/>
  <c r="L11" i="31" s="1"/>
  <c r="L12" i="27"/>
  <c r="L12" i="31" s="1"/>
  <c r="L13" i="27"/>
  <c r="L13" i="31" s="1"/>
  <c r="L14" i="27"/>
  <c r="L14" i="31" s="1"/>
  <c r="L15" i="27"/>
  <c r="L15" i="31" s="1"/>
  <c r="L16" i="27"/>
  <c r="L16" i="31" s="1"/>
  <c r="L17" i="27"/>
  <c r="L17" i="31" s="1"/>
  <c r="L18" i="27"/>
  <c r="L18" i="31" s="1"/>
  <c r="L20" i="27"/>
  <c r="L20" i="31" s="1"/>
  <c r="L21" i="27"/>
  <c r="L21" i="31" s="1"/>
  <c r="L22" i="27"/>
  <c r="L22" i="31" s="1"/>
  <c r="L23" i="27"/>
  <c r="L23" i="31" s="1"/>
  <c r="L24" i="27"/>
  <c r="L24" i="31" s="1"/>
  <c r="L25" i="27"/>
  <c r="L25" i="31" s="1"/>
  <c r="L26" i="27"/>
  <c r="L26" i="31" s="1"/>
  <c r="L27" i="27"/>
  <c r="L27" i="31" s="1"/>
  <c r="L28" i="27"/>
  <c r="L28" i="31" s="1"/>
  <c r="I2" i="27"/>
  <c r="I2" i="31" s="1"/>
  <c r="I3" i="27"/>
  <c r="I3" i="31" s="1"/>
  <c r="I4" i="27"/>
  <c r="I4" i="31" s="1"/>
  <c r="I5" i="27"/>
  <c r="I5" i="31" s="1"/>
  <c r="I6" i="27"/>
  <c r="I6" i="31" s="1"/>
  <c r="I7" i="27"/>
  <c r="I7" i="31" s="1"/>
  <c r="I9" i="27"/>
  <c r="I9" i="31" s="1"/>
  <c r="I10" i="27"/>
  <c r="I10" i="31" s="1"/>
  <c r="I11" i="27"/>
  <c r="I11" i="31" s="1"/>
  <c r="I12" i="27"/>
  <c r="I12" i="31" s="1"/>
  <c r="I13" i="27"/>
  <c r="I13" i="31" s="1"/>
  <c r="I14" i="27"/>
  <c r="I14" i="31" s="1"/>
  <c r="I15" i="27"/>
  <c r="I15" i="31" s="1"/>
  <c r="I16" i="27"/>
  <c r="I16" i="31" s="1"/>
  <c r="I18" i="27"/>
  <c r="I18" i="31" s="1"/>
  <c r="I19" i="27"/>
  <c r="I19" i="31" s="1"/>
  <c r="I20" i="27"/>
  <c r="I20" i="31" s="1"/>
  <c r="I21" i="27"/>
  <c r="I21" i="31" s="1"/>
  <c r="I22" i="27"/>
  <c r="I22" i="31" s="1"/>
  <c r="I23" i="27"/>
  <c r="I23" i="31" s="1"/>
  <c r="I24" i="27"/>
  <c r="I24" i="31" s="1"/>
  <c r="I26" i="27"/>
  <c r="I26" i="31" s="1"/>
  <c r="I27" i="27"/>
  <c r="I27" i="31" s="1"/>
  <c r="I28" i="27"/>
  <c r="I28" i="31" s="1"/>
  <c r="H2" i="27"/>
  <c r="H2" i="31" s="1"/>
  <c r="H3" i="27"/>
  <c r="H3" i="31" s="1"/>
  <c r="H4" i="27"/>
  <c r="H4" i="31" s="1"/>
  <c r="H5" i="27"/>
  <c r="H5" i="31" s="1"/>
  <c r="H6" i="27"/>
  <c r="H6" i="31" s="1"/>
  <c r="H7" i="27"/>
  <c r="H7" i="31" s="1"/>
  <c r="H9" i="27"/>
  <c r="H9" i="31" s="1"/>
  <c r="H10" i="27"/>
  <c r="H10" i="31" s="1"/>
  <c r="H11" i="27"/>
  <c r="H11" i="31" s="1"/>
  <c r="H12" i="27"/>
  <c r="H12" i="31" s="1"/>
  <c r="H13" i="27"/>
  <c r="H13" i="31" s="1"/>
  <c r="H14" i="27"/>
  <c r="H14" i="31" s="1"/>
  <c r="H15" i="27"/>
  <c r="H15" i="31" s="1"/>
  <c r="H16" i="27"/>
  <c r="H16" i="31" s="1"/>
  <c r="H18" i="27"/>
  <c r="H18" i="31" s="1"/>
  <c r="H19" i="27"/>
  <c r="H19" i="31" s="1"/>
  <c r="H20" i="27"/>
  <c r="H20" i="31" s="1"/>
  <c r="H21" i="27"/>
  <c r="H21" i="31" s="1"/>
  <c r="H22" i="27"/>
  <c r="H22" i="31" s="1"/>
  <c r="H23" i="27"/>
  <c r="H23" i="31" s="1"/>
  <c r="H24" i="27"/>
  <c r="H24" i="31" s="1"/>
  <c r="H26" i="27"/>
  <c r="H26" i="31" s="1"/>
  <c r="H27" i="27"/>
  <c r="H27" i="31" s="1"/>
  <c r="H28" i="27"/>
  <c r="H28" i="31" s="1"/>
  <c r="E7" i="26"/>
  <c r="I3" i="9"/>
  <c r="I4" i="9"/>
  <c r="I5" i="9"/>
  <c r="I6" i="9"/>
  <c r="I7" i="9"/>
  <c r="I8" i="9"/>
  <c r="I9" i="9"/>
  <c r="I11" i="9"/>
  <c r="I12" i="9"/>
  <c r="I13" i="9"/>
  <c r="I14" i="9"/>
  <c r="I16" i="9"/>
  <c r="I17" i="9"/>
  <c r="I19" i="9"/>
  <c r="I20" i="9"/>
  <c r="I22" i="9"/>
  <c r="H3" i="9"/>
  <c r="H4" i="9"/>
  <c r="H5" i="9"/>
  <c r="H6" i="9"/>
  <c r="H7" i="9"/>
  <c r="H9" i="9"/>
  <c r="H11" i="9"/>
  <c r="H12" i="9"/>
  <c r="H13" i="9"/>
  <c r="H14" i="9"/>
  <c r="H16" i="9"/>
  <c r="H17" i="9"/>
  <c r="H19" i="9"/>
  <c r="H20" i="9"/>
  <c r="H22" i="9"/>
  <c r="G2" i="9"/>
  <c r="G3" i="9"/>
  <c r="G4" i="9"/>
  <c r="G5" i="9"/>
  <c r="G6" i="9"/>
  <c r="G7" i="9"/>
  <c r="G8" i="9"/>
  <c r="G9" i="9"/>
  <c r="G10" i="9"/>
  <c r="G11" i="9"/>
  <c r="G12" i="9"/>
  <c r="G13" i="9"/>
  <c r="G14" i="9"/>
  <c r="G15" i="9"/>
  <c r="G16" i="9"/>
  <c r="G17" i="9"/>
  <c r="G18" i="9"/>
  <c r="G19" i="9"/>
  <c r="G20" i="9"/>
  <c r="G21" i="9"/>
  <c r="G22" i="9"/>
  <c r="E2" i="16"/>
  <c r="E3" i="16"/>
  <c r="E4" i="16"/>
  <c r="E4" i="26" s="1"/>
  <c r="E5" i="16"/>
  <c r="E5" i="26" s="1"/>
  <c r="E6" i="16"/>
  <c r="E6" i="26" s="1"/>
  <c r="E7" i="16"/>
  <c r="F2" i="27"/>
  <c r="F3" i="27"/>
  <c r="F4" i="27"/>
  <c r="F5" i="27"/>
  <c r="F6" i="27"/>
  <c r="F7" i="27"/>
  <c r="F8" i="27"/>
  <c r="F9" i="27"/>
  <c r="F10" i="27"/>
  <c r="F11" i="27"/>
  <c r="F12" i="27"/>
  <c r="F13" i="27"/>
  <c r="F14" i="27"/>
  <c r="F15" i="27"/>
  <c r="F16" i="27"/>
  <c r="F17" i="27"/>
  <c r="F18" i="27"/>
  <c r="F19" i="27"/>
  <c r="F20" i="27"/>
  <c r="F21" i="27"/>
  <c r="F22" i="27"/>
  <c r="F23" i="27"/>
  <c r="F24" i="27"/>
  <c r="F25" i="27"/>
  <c r="F26" i="27"/>
  <c r="F27" i="27"/>
  <c r="F28" i="27"/>
  <c r="E2" i="27"/>
  <c r="E3" i="27"/>
  <c r="E3" i="31" s="1"/>
  <c r="E4" i="27"/>
  <c r="E4" i="31" s="1"/>
  <c r="E5" i="27"/>
  <c r="E5" i="31" s="1"/>
  <c r="E6" i="27"/>
  <c r="E6" i="31" s="1"/>
  <c r="E7" i="27"/>
  <c r="E7" i="31" s="1"/>
  <c r="E8" i="27"/>
  <c r="E8" i="31" s="1"/>
  <c r="E9" i="27"/>
  <c r="E9" i="31" s="1"/>
  <c r="E10" i="27"/>
  <c r="E10" i="31" s="1"/>
  <c r="E11" i="27"/>
  <c r="E11" i="31" s="1"/>
  <c r="E12" i="27"/>
  <c r="E12" i="31" s="1"/>
  <c r="E13" i="27"/>
  <c r="E13" i="31" s="1"/>
  <c r="E14" i="27"/>
  <c r="E14" i="31" s="1"/>
  <c r="E15" i="27"/>
  <c r="E15" i="31" s="1"/>
  <c r="E16" i="27"/>
  <c r="E16" i="31" s="1"/>
  <c r="E17" i="27"/>
  <c r="E17" i="31" s="1"/>
  <c r="E18" i="27"/>
  <c r="E18" i="31" s="1"/>
  <c r="E19" i="27"/>
  <c r="E19" i="31" s="1"/>
  <c r="E20" i="27"/>
  <c r="E20" i="31" s="1"/>
  <c r="E21" i="27"/>
  <c r="E21" i="31" s="1"/>
  <c r="E22" i="27"/>
  <c r="E22" i="31" s="1"/>
  <c r="E23" i="27"/>
  <c r="E23" i="31" s="1"/>
  <c r="E24" i="27"/>
  <c r="E24" i="31" s="1"/>
  <c r="E25" i="27"/>
  <c r="E25" i="31" s="1"/>
  <c r="E26" i="27"/>
  <c r="E26" i="31" s="1"/>
  <c r="E27" i="27"/>
  <c r="E27" i="31" s="1"/>
  <c r="E28" i="27"/>
  <c r="E28" i="31" s="1"/>
  <c r="D6" i="27"/>
  <c r="D6" i="31" s="1"/>
  <c r="D9" i="27"/>
  <c r="D9" i="31" s="1"/>
  <c r="D10" i="27"/>
  <c r="D10" i="31" s="1"/>
  <c r="D15" i="27"/>
  <c r="D15" i="31" s="1"/>
  <c r="D18" i="27"/>
  <c r="D18" i="31" s="1"/>
  <c r="D19" i="27"/>
  <c r="D19" i="31" s="1"/>
  <c r="D24" i="27"/>
  <c r="D24" i="31" s="1"/>
  <c r="D27" i="27"/>
  <c r="D28" i="27"/>
  <c r="D28" i="31" s="1"/>
  <c r="G23" i="27"/>
  <c r="G23" i="31" s="1"/>
  <c r="G24" i="27"/>
  <c r="G24" i="31" s="1"/>
  <c r="G25" i="27"/>
  <c r="G26" i="27"/>
  <c r="G26" i="31" s="1"/>
  <c r="G27" i="27"/>
  <c r="G27" i="31" s="1"/>
  <c r="G28" i="27"/>
  <c r="G28" i="31" s="1"/>
  <c r="G22" i="27"/>
  <c r="G22" i="31" s="1"/>
  <c r="G21" i="27"/>
  <c r="G21" i="31" s="1"/>
  <c r="G20" i="27"/>
  <c r="G20" i="31" s="1"/>
  <c r="G19" i="27"/>
  <c r="G18" i="27"/>
  <c r="G18" i="31" s="1"/>
  <c r="G17" i="27"/>
  <c r="G16" i="27"/>
  <c r="G16" i="31" s="1"/>
  <c r="G15" i="27"/>
  <c r="G15" i="31" s="1"/>
  <c r="G14" i="27"/>
  <c r="G14" i="31" s="1"/>
  <c r="G13" i="27"/>
  <c r="G13" i="31" s="1"/>
  <c r="G12" i="27"/>
  <c r="G12" i="31" s="1"/>
  <c r="G11" i="27"/>
  <c r="G11" i="31" s="1"/>
  <c r="G10" i="27"/>
  <c r="G10" i="31" s="1"/>
  <c r="G9" i="27"/>
  <c r="G8" i="27"/>
  <c r="G7" i="27"/>
  <c r="G7" i="31" s="1"/>
  <c r="G6" i="27"/>
  <c r="G6" i="31" s="1"/>
  <c r="G5" i="27"/>
  <c r="G5" i="31" s="1"/>
  <c r="G4" i="27"/>
  <c r="G4" i="31" s="1"/>
  <c r="G3" i="27"/>
  <c r="G3" i="31" s="1"/>
  <c r="G2" i="27"/>
  <c r="J5" i="7"/>
  <c r="M9" i="27" s="1"/>
  <c r="I6" i="7"/>
  <c r="C2" i="18" s="1"/>
  <c r="D2" i="18" s="1"/>
  <c r="J6" i="7"/>
  <c r="M19" i="27" s="1"/>
  <c r="I3" i="7"/>
  <c r="H25" i="27" s="1"/>
  <c r="J3" i="7"/>
  <c r="I25" i="27" s="1"/>
  <c r="I4" i="7"/>
  <c r="H8" i="27" s="1"/>
  <c r="J4" i="7"/>
  <c r="I8" i="27" s="1"/>
  <c r="J2" i="7"/>
  <c r="I2" i="7"/>
  <c r="J7" i="25"/>
  <c r="I18" i="9" s="1"/>
  <c r="I7" i="25"/>
  <c r="H7" i="25"/>
  <c r="I6" i="25"/>
  <c r="H6" i="25"/>
  <c r="J6" i="25" s="1"/>
  <c r="I10" i="9" s="1"/>
  <c r="I5" i="25"/>
  <c r="H5" i="25"/>
  <c r="J5" i="25" s="1"/>
  <c r="I4" i="25"/>
  <c r="H21" i="9" s="1"/>
  <c r="H4" i="25"/>
  <c r="J4" i="25" s="1"/>
  <c r="I3" i="25"/>
  <c r="H15" i="9" s="1"/>
  <c r="H3" i="25"/>
  <c r="J3" i="25" s="1"/>
  <c r="I2" i="25"/>
  <c r="H2" i="25"/>
  <c r="J2" i="25" s="1"/>
  <c r="I2" i="9" s="1"/>
  <c r="H2" i="26"/>
  <c r="H3" i="26"/>
  <c r="H4" i="26"/>
  <c r="H5" i="26"/>
  <c r="H6" i="26"/>
  <c r="H7" i="26"/>
  <c r="E4" i="24"/>
  <c r="H9" i="19"/>
  <c r="H10" i="19"/>
  <c r="B4" i="22"/>
  <c r="E4" i="22"/>
  <c r="B10" i="22"/>
  <c r="B11" i="22"/>
  <c r="E11" i="22"/>
  <c r="B16" i="22"/>
  <c r="E16" i="22"/>
  <c r="B17" i="22"/>
  <c r="B5" i="22"/>
  <c r="E5" i="22"/>
  <c r="B19" i="22"/>
  <c r="E19" i="22"/>
  <c r="B13" i="22"/>
  <c r="E13" i="22"/>
  <c r="B2" i="22"/>
  <c r="B12" i="22"/>
  <c r="E12" i="22"/>
  <c r="B18" i="22"/>
  <c r="B14" i="22"/>
  <c r="E14" i="22"/>
  <c r="B6" i="22"/>
  <c r="E6" i="22"/>
  <c r="B3" i="22"/>
  <c r="E3" i="22"/>
  <c r="B15" i="22"/>
  <c r="E15" i="22"/>
  <c r="B7" i="22"/>
  <c r="E7" i="22"/>
  <c r="B20" i="22"/>
  <c r="E20" i="22"/>
  <c r="B8" i="22"/>
  <c r="E8" i="22"/>
  <c r="B21" i="22"/>
  <c r="E21" i="22"/>
  <c r="B9" i="22"/>
  <c r="H6" i="19"/>
  <c r="H5" i="19"/>
  <c r="H4" i="19"/>
  <c r="H3" i="19"/>
  <c r="H8" i="19"/>
  <c r="H7" i="19"/>
  <c r="H2" i="19"/>
  <c r="H3" i="10"/>
  <c r="H4" i="10"/>
  <c r="H5" i="10"/>
  <c r="H6" i="10"/>
  <c r="H7" i="10"/>
  <c r="H9" i="10"/>
  <c r="H11" i="10"/>
  <c r="H12" i="10"/>
  <c r="H13" i="10"/>
  <c r="H14" i="10"/>
  <c r="H16" i="10"/>
  <c r="H17" i="10"/>
  <c r="H19" i="10"/>
  <c r="H20" i="10"/>
  <c r="H22" i="10"/>
  <c r="G3" i="10"/>
  <c r="G4" i="10"/>
  <c r="G5" i="10"/>
  <c r="G6" i="10"/>
  <c r="G7" i="10"/>
  <c r="G9" i="10"/>
  <c r="G11" i="10"/>
  <c r="G12" i="10"/>
  <c r="G13" i="10"/>
  <c r="G14" i="10"/>
  <c r="G16" i="10"/>
  <c r="G17" i="10"/>
  <c r="G19" i="10"/>
  <c r="G20" i="10"/>
  <c r="G22" i="10"/>
  <c r="H7" i="16"/>
  <c r="H6" i="16"/>
  <c r="H5" i="16"/>
  <c r="H4" i="16"/>
  <c r="H3" i="16"/>
  <c r="H2" i="16"/>
  <c r="C3" i="18" l="1"/>
  <c r="D3" i="18" s="1"/>
  <c r="E2" i="18" s="1"/>
  <c r="I2" i="18" s="1"/>
  <c r="H17" i="27"/>
  <c r="H29" i="27" s="1"/>
  <c r="I7" i="7"/>
  <c r="L19" i="27"/>
  <c r="L29" i="27" s="1"/>
  <c r="J7" i="7"/>
  <c r="J3" i="16"/>
  <c r="J3" i="26" s="1"/>
  <c r="J2" i="16"/>
  <c r="H2" i="10" s="1"/>
  <c r="E8" i="16"/>
  <c r="I5" i="16"/>
  <c r="I5" i="26" s="1"/>
  <c r="C2" i="11"/>
  <c r="C4" i="11" s="1"/>
  <c r="I4" i="16"/>
  <c r="I4" i="26" s="1"/>
  <c r="C3" i="11"/>
  <c r="H18" i="9"/>
  <c r="H10" i="9"/>
  <c r="H2" i="9"/>
  <c r="I15" i="9"/>
  <c r="I3" i="26"/>
  <c r="H8" i="9"/>
  <c r="I21" i="9"/>
  <c r="E3" i="26"/>
  <c r="E2" i="26"/>
  <c r="E22" i="22"/>
  <c r="E2" i="31"/>
  <c r="E29" i="31" s="1"/>
  <c r="E29" i="27"/>
  <c r="F29" i="27"/>
  <c r="G29" i="27"/>
  <c r="G2" i="31"/>
  <c r="I17" i="27"/>
  <c r="I29" i="27" s="1"/>
  <c r="M29" i="27"/>
  <c r="M2" i="31"/>
  <c r="L2" i="28"/>
  <c r="H17" i="29"/>
  <c r="J2" i="32"/>
  <c r="I25" i="29"/>
  <c r="I25" i="31" s="1"/>
  <c r="K3" i="32"/>
  <c r="L6" i="28"/>
  <c r="G19" i="29" s="1"/>
  <c r="G19" i="31" s="1"/>
  <c r="L19" i="29"/>
  <c r="L19" i="31" s="1"/>
  <c r="J6" i="32"/>
  <c r="K2" i="32"/>
  <c r="I17" i="29"/>
  <c r="K6" i="32"/>
  <c r="M19" i="29"/>
  <c r="M19" i="31" s="1"/>
  <c r="L5" i="28"/>
  <c r="G9" i="29" s="1"/>
  <c r="G9" i="31" s="1"/>
  <c r="J5" i="32"/>
  <c r="L9" i="29"/>
  <c r="I8" i="29"/>
  <c r="K4" i="32"/>
  <c r="L4" i="28"/>
  <c r="G8" i="29" s="1"/>
  <c r="J4" i="32"/>
  <c r="H8" i="29"/>
  <c r="L3" i="28"/>
  <c r="G25" i="29" s="1"/>
  <c r="G25" i="31" s="1"/>
  <c r="H25" i="29"/>
  <c r="H25" i="31" s="1"/>
  <c r="J3" i="32"/>
  <c r="K5" i="32"/>
  <c r="M9" i="29"/>
  <c r="F7" i="31"/>
  <c r="F15" i="31"/>
  <c r="F22" i="31"/>
  <c r="F14" i="31"/>
  <c r="F6" i="31"/>
  <c r="F5" i="31"/>
  <c r="F28" i="31"/>
  <c r="F20" i="31"/>
  <c r="F12" i="31"/>
  <c r="F4" i="31"/>
  <c r="F13" i="31"/>
  <c r="F27" i="31"/>
  <c r="F19" i="31"/>
  <c r="F11" i="31"/>
  <c r="F3" i="31"/>
  <c r="F10" i="31"/>
  <c r="F2" i="31"/>
  <c r="F21" i="31"/>
  <c r="F18" i="31"/>
  <c r="F25" i="31"/>
  <c r="F17" i="31"/>
  <c r="F9" i="31"/>
  <c r="F23" i="31"/>
  <c r="F26" i="31"/>
  <c r="F24" i="31"/>
  <c r="F16" i="31"/>
  <c r="F8" i="31"/>
  <c r="D3" i="27"/>
  <c r="D3" i="31" s="1"/>
  <c r="D5" i="27"/>
  <c r="D5" i="31" s="1"/>
  <c r="D7" i="27"/>
  <c r="D7" i="31" s="1"/>
  <c r="D2" i="27"/>
  <c r="D12" i="27"/>
  <c r="D12" i="31" s="1"/>
  <c r="D26" i="27"/>
  <c r="D26" i="31" s="1"/>
  <c r="D4" i="27"/>
  <c r="D4" i="31" s="1"/>
  <c r="D21" i="27"/>
  <c r="D21" i="31" s="1"/>
  <c r="D25" i="27"/>
  <c r="D25" i="31" s="1"/>
  <c r="D17" i="27"/>
  <c r="D17" i="31" s="1"/>
  <c r="D16" i="27"/>
  <c r="D16" i="31" s="1"/>
  <c r="D8" i="27"/>
  <c r="D8" i="31" s="1"/>
  <c r="D23" i="27"/>
  <c r="D23" i="31" s="1"/>
  <c r="D22" i="27"/>
  <c r="D22" i="31" s="1"/>
  <c r="D14" i="27"/>
  <c r="D14" i="31" s="1"/>
  <c r="D13" i="27"/>
  <c r="D13" i="31" s="1"/>
  <c r="D20" i="27"/>
  <c r="D20" i="31" s="1"/>
  <c r="D11" i="27"/>
  <c r="D11" i="31" s="1"/>
  <c r="I3" i="16"/>
  <c r="I2" i="16"/>
  <c r="I2" i="26" s="1"/>
  <c r="J7" i="16"/>
  <c r="J7" i="26" s="1"/>
  <c r="G8" i="10"/>
  <c r="G21" i="10"/>
  <c r="J6" i="16"/>
  <c r="J6" i="26" s="1"/>
  <c r="I7" i="16"/>
  <c r="I7" i="26" s="1"/>
  <c r="J5" i="16"/>
  <c r="J5" i="26" s="1"/>
  <c r="I6" i="16"/>
  <c r="I6" i="26" s="1"/>
  <c r="J4" i="16"/>
  <c r="J4" i="26" s="1"/>
  <c r="G2" i="10"/>
  <c r="H15" i="10"/>
  <c r="H8" i="10"/>
  <c r="I17" i="31" l="1"/>
  <c r="H17" i="31"/>
  <c r="N6" i="27" a="1"/>
  <c r="N6" i="27" s="1"/>
  <c r="N7" i="27" a="1"/>
  <c r="N7" i="27" s="1"/>
  <c r="N16" i="27" a="1"/>
  <c r="N16" i="27" s="1"/>
  <c r="E3" i="18"/>
  <c r="H2" i="18" s="1"/>
  <c r="O12" i="27" s="1" a="1"/>
  <c r="O12" i="27" s="1"/>
  <c r="F3" i="32"/>
  <c r="F4" i="32"/>
  <c r="J2" i="26"/>
  <c r="N8" i="27" a="1"/>
  <c r="N8" i="27" s="1"/>
  <c r="D29" i="27"/>
  <c r="D2" i="31"/>
  <c r="D29" i="31" s="1"/>
  <c r="O5" i="27" a="1"/>
  <c r="O5" i="27" s="1"/>
  <c r="N26" i="27" a="1"/>
  <c r="N26" i="27" s="1"/>
  <c r="O13" i="27" a="1"/>
  <c r="O13" i="27" s="1"/>
  <c r="N22" i="27" a="1"/>
  <c r="N22" i="27" s="1"/>
  <c r="N25" i="27" a="1"/>
  <c r="N25" i="27" s="1"/>
  <c r="O8" i="27" a="1"/>
  <c r="O8" i="27" s="1"/>
  <c r="O26" i="27" a="1"/>
  <c r="O26" i="27" s="1"/>
  <c r="N10" i="27" a="1"/>
  <c r="N10" i="27" s="1"/>
  <c r="N11" i="27" a="1"/>
  <c r="N11" i="27" s="1"/>
  <c r="N13" i="27" a="1"/>
  <c r="N13" i="27" s="1"/>
  <c r="O7" i="27" a="1"/>
  <c r="O7" i="27" s="1"/>
  <c r="O25" i="27" a="1"/>
  <c r="O25" i="27" s="1"/>
  <c r="O10" i="27" a="1"/>
  <c r="O10" i="27" s="1"/>
  <c r="N20" i="27" a="1"/>
  <c r="N20" i="27" s="1"/>
  <c r="N5" i="27" a="1"/>
  <c r="N5" i="27" s="1"/>
  <c r="O14" i="27" a="1"/>
  <c r="O14" i="27" s="1"/>
  <c r="O9" i="27" a="1"/>
  <c r="O9" i="27" s="1"/>
  <c r="O4" i="27" a="1"/>
  <c r="O4" i="27" s="1"/>
  <c r="N23" i="27" a="1"/>
  <c r="N23" i="27" s="1"/>
  <c r="N19" i="27" a="1"/>
  <c r="N19" i="27" s="1"/>
  <c r="N6" i="29" a="1"/>
  <c r="N6" i="29" s="1"/>
  <c r="N22" i="29" a="1"/>
  <c r="N22" i="29" s="1"/>
  <c r="N13" i="29" a="1"/>
  <c r="N13" i="29" s="1"/>
  <c r="N28" i="29" a="1"/>
  <c r="N28" i="29" s="1"/>
  <c r="N8" i="29" a="1"/>
  <c r="N8" i="29" s="1"/>
  <c r="N24" i="29" a="1"/>
  <c r="N24" i="29" s="1"/>
  <c r="N15" i="29" a="1"/>
  <c r="N15" i="29" s="1"/>
  <c r="N10" i="29" a="1"/>
  <c r="N10" i="29" s="1"/>
  <c r="N26" i="29" a="1"/>
  <c r="N26" i="29" s="1"/>
  <c r="N17" i="29" a="1"/>
  <c r="N17" i="29" s="1"/>
  <c r="N12" i="29" a="1"/>
  <c r="N12" i="29" s="1"/>
  <c r="N3" i="29" a="1"/>
  <c r="N3" i="29" s="1"/>
  <c r="N19" i="29" a="1"/>
  <c r="N19" i="29" s="1"/>
  <c r="N14" i="29" a="1"/>
  <c r="N14" i="29" s="1"/>
  <c r="N5" i="29" a="1"/>
  <c r="N5" i="29" s="1"/>
  <c r="N21" i="29" a="1"/>
  <c r="N21" i="29" s="1"/>
  <c r="N16" i="29" a="1"/>
  <c r="N16" i="29" s="1"/>
  <c r="N7" i="29" a="1"/>
  <c r="N7" i="29" s="1"/>
  <c r="N7" i="31" s="1"/>
  <c r="N23" i="29" a="1"/>
  <c r="N23" i="29" s="1"/>
  <c r="N2" i="29" a="1"/>
  <c r="N2" i="29" s="1"/>
  <c r="N18" i="29" a="1"/>
  <c r="N18" i="29" s="1"/>
  <c r="N9" i="29" a="1"/>
  <c r="N9" i="29" s="1"/>
  <c r="N25" i="29" a="1"/>
  <c r="N25" i="29" s="1"/>
  <c r="N4" i="29" a="1"/>
  <c r="N4" i="29" s="1"/>
  <c r="N20" i="29" a="1"/>
  <c r="N20" i="29" s="1"/>
  <c r="N11" i="29" a="1"/>
  <c r="N11" i="29" s="1"/>
  <c r="N27" i="29" a="1"/>
  <c r="N27" i="29" s="1"/>
  <c r="N2" i="27" a="1"/>
  <c r="N2" i="27" s="1"/>
  <c r="N18" i="27" a="1"/>
  <c r="N18" i="27" s="1"/>
  <c r="N18" i="31" s="1"/>
  <c r="N15" i="27" a="1"/>
  <c r="N15" i="27" s="1"/>
  <c r="O16" i="27" a="1"/>
  <c r="O16" i="27" s="1"/>
  <c r="O23" i="27" a="1"/>
  <c r="O23" i="27" s="1"/>
  <c r="N4" i="27" a="1"/>
  <c r="N4" i="27" s="1"/>
  <c r="O28" i="27" a="1"/>
  <c r="O28" i="27" s="1"/>
  <c r="N24" i="27" a="1"/>
  <c r="N24" i="27" s="1"/>
  <c r="O2" i="27" a="1"/>
  <c r="O2" i="27" s="1"/>
  <c r="O24" i="27" a="1"/>
  <c r="O24" i="27" s="1"/>
  <c r="N17" i="27" a="1"/>
  <c r="N17" i="27" s="1"/>
  <c r="N17" i="31" s="1"/>
  <c r="O18" i="27" a="1"/>
  <c r="O18" i="27" s="1"/>
  <c r="O3" i="27" a="1"/>
  <c r="O3" i="27" s="1"/>
  <c r="N27" i="27" a="1"/>
  <c r="N27" i="27" s="1"/>
  <c r="N27" i="31" s="1"/>
  <c r="N28" i="27" a="1"/>
  <c r="N28" i="27" s="1"/>
  <c r="O21" i="29" a="1"/>
  <c r="O21" i="29" s="1"/>
  <c r="O7" i="29" a="1"/>
  <c r="O7" i="29" s="1"/>
  <c r="O16" i="29" a="1"/>
  <c r="O16" i="29" s="1"/>
  <c r="O2" i="29" a="1"/>
  <c r="O2" i="29" s="1"/>
  <c r="O8" i="29" a="1"/>
  <c r="O8" i="29" s="1"/>
  <c r="O18" i="29" a="1"/>
  <c r="O18" i="29" s="1"/>
  <c r="O19" i="29" a="1"/>
  <c r="O19" i="29" s="1"/>
  <c r="O17" i="29" a="1"/>
  <c r="O17" i="29" s="1"/>
  <c r="O20" i="29" a="1"/>
  <c r="O20" i="29" s="1"/>
  <c r="O25" i="29" a="1"/>
  <c r="O25" i="29" s="1"/>
  <c r="O28" i="29" a="1"/>
  <c r="O28" i="29" s="1"/>
  <c r="O4" i="29" a="1"/>
  <c r="O4" i="29" s="1"/>
  <c r="O22" i="29" a="1"/>
  <c r="O22" i="29" s="1"/>
  <c r="O23" i="29" a="1"/>
  <c r="O23" i="29" s="1"/>
  <c r="O5" i="29" a="1"/>
  <c r="O5" i="29" s="1"/>
  <c r="O5" i="31" s="1"/>
  <c r="O11" i="29" a="1"/>
  <c r="O11" i="29" s="1"/>
  <c r="O24" i="29" a="1"/>
  <c r="O24" i="29" s="1"/>
  <c r="O9" i="29" a="1"/>
  <c r="O9" i="29" s="1"/>
  <c r="O13" i="29" a="1"/>
  <c r="O13" i="29" s="1"/>
  <c r="O10" i="29" a="1"/>
  <c r="O10" i="29" s="1"/>
  <c r="O26" i="29" a="1"/>
  <c r="O26" i="29" s="1"/>
  <c r="O3" i="29" a="1"/>
  <c r="O3" i="29" s="1"/>
  <c r="O12" i="29" a="1"/>
  <c r="O12" i="29" s="1"/>
  <c r="O27" i="29" a="1"/>
  <c r="O27" i="29" s="1"/>
  <c r="O15" i="29" a="1"/>
  <c r="O15" i="29" s="1"/>
  <c r="O6" i="29" a="1"/>
  <c r="O6" i="29" s="1"/>
  <c r="O14" i="29" a="1"/>
  <c r="O14" i="29" s="1"/>
  <c r="N3" i="27" a="1"/>
  <c r="N3" i="27" s="1"/>
  <c r="O22" i="27" a="1"/>
  <c r="O22" i="27" s="1"/>
  <c r="O22" i="31" s="1"/>
  <c r="N9" i="27" a="1"/>
  <c r="N9" i="27" s="1"/>
  <c r="N9" i="31" s="1"/>
  <c r="O6" i="27" a="1"/>
  <c r="O6" i="27" s="1"/>
  <c r="O17" i="27" a="1"/>
  <c r="O17" i="27" s="1"/>
  <c r="O17" i="31" s="1"/>
  <c r="N21" i="27" a="1"/>
  <c r="N21" i="27" s="1"/>
  <c r="O11" i="27" a="1"/>
  <c r="O11" i="27" s="1"/>
  <c r="O11" i="31" s="1"/>
  <c r="O27" i="27" a="1"/>
  <c r="O27" i="27" s="1"/>
  <c r="O27" i="31" s="1"/>
  <c r="N12" i="27" a="1"/>
  <c r="N12" i="27" s="1"/>
  <c r="N12" i="31" s="1"/>
  <c r="N14" i="27" a="1"/>
  <c r="N14" i="27" s="1"/>
  <c r="N14" i="31" s="1"/>
  <c r="H8" i="31"/>
  <c r="H29" i="31" s="1"/>
  <c r="H29" i="29"/>
  <c r="G8" i="31"/>
  <c r="M9" i="31"/>
  <c r="M29" i="31" s="1"/>
  <c r="M29" i="29"/>
  <c r="K7" i="32"/>
  <c r="L7" i="28"/>
  <c r="G17" i="29"/>
  <c r="G17" i="31" s="1"/>
  <c r="F2" i="32"/>
  <c r="J7" i="32"/>
  <c r="I8" i="31"/>
  <c r="I29" i="31" s="1"/>
  <c r="I29" i="29"/>
  <c r="F6" i="32"/>
  <c r="F5" i="32"/>
  <c r="L9" i="31"/>
  <c r="L29" i="31" s="1"/>
  <c r="L29" i="29"/>
  <c r="F29" i="31"/>
  <c r="G15" i="10"/>
  <c r="H21" i="10"/>
  <c r="H18" i="10"/>
  <c r="G18" i="10"/>
  <c r="G10" i="10"/>
  <c r="H10" i="10"/>
  <c r="E4" i="6"/>
  <c r="H3" i="13"/>
  <c r="H4" i="13"/>
  <c r="H5" i="13"/>
  <c r="H6" i="13"/>
  <c r="H7" i="13"/>
  <c r="H9" i="13"/>
  <c r="H11" i="13"/>
  <c r="H12" i="13"/>
  <c r="H13" i="13"/>
  <c r="H14" i="13"/>
  <c r="H16" i="13"/>
  <c r="H17" i="13"/>
  <c r="H19" i="13"/>
  <c r="H20" i="13"/>
  <c r="H22" i="13"/>
  <c r="G3" i="13"/>
  <c r="G4" i="13"/>
  <c r="G5" i="13"/>
  <c r="G6" i="13"/>
  <c r="G7" i="13"/>
  <c r="G9" i="13"/>
  <c r="G11" i="13"/>
  <c r="G12" i="13"/>
  <c r="G13" i="13"/>
  <c r="G14" i="13"/>
  <c r="G16" i="13"/>
  <c r="G17" i="13"/>
  <c r="G19" i="13"/>
  <c r="G20" i="13"/>
  <c r="G21" i="13"/>
  <c r="G22" i="13"/>
  <c r="H15" i="13"/>
  <c r="H8" i="13"/>
  <c r="H2" i="13"/>
  <c r="G2" i="13"/>
  <c r="G8" i="13"/>
  <c r="B2" i="3"/>
  <c r="B3" i="3"/>
  <c r="B4" i="3"/>
  <c r="B5" i="3"/>
  <c r="B6" i="3"/>
  <c r="B7" i="3"/>
  <c r="B8" i="3"/>
  <c r="B9" i="3"/>
  <c r="B10" i="3"/>
  <c r="B11" i="3"/>
  <c r="B12" i="3"/>
  <c r="B13" i="3"/>
  <c r="B14" i="3"/>
  <c r="B15" i="3"/>
  <c r="B16" i="3"/>
  <c r="B17" i="3"/>
  <c r="B18" i="3"/>
  <c r="B19" i="3"/>
  <c r="B20" i="3"/>
  <c r="B21" i="3"/>
  <c r="E3" i="3"/>
  <c r="E4" i="3"/>
  <c r="E5" i="3"/>
  <c r="E6" i="3"/>
  <c r="E7" i="3"/>
  <c r="E8" i="3"/>
  <c r="E9" i="3"/>
  <c r="E10" i="3"/>
  <c r="E11" i="3"/>
  <c r="E12" i="3"/>
  <c r="E13" i="3"/>
  <c r="E14" i="3"/>
  <c r="E15" i="3"/>
  <c r="E16" i="3"/>
  <c r="E17" i="3"/>
  <c r="E18" i="3"/>
  <c r="E19" i="3"/>
  <c r="E20" i="3"/>
  <c r="E21" i="3"/>
  <c r="E2" i="3"/>
  <c r="H4" i="2"/>
  <c r="H8" i="2"/>
  <c r="H7" i="2"/>
  <c r="H5" i="2"/>
  <c r="H2" i="2"/>
  <c r="H3" i="2"/>
  <c r="H6" i="2"/>
  <c r="N24" i="31" l="1"/>
  <c r="N16" i="31"/>
  <c r="O13" i="31"/>
  <c r="G29" i="29"/>
  <c r="O21" i="27" a="1"/>
  <c r="O21" i="27" s="1"/>
  <c r="O20" i="27" a="1"/>
  <c r="O20" i="27" s="1"/>
  <c r="O20" i="31" s="1"/>
  <c r="O7" i="31"/>
  <c r="N3" i="31"/>
  <c r="N15" i="31"/>
  <c r="N25" i="31"/>
  <c r="O24" i="31"/>
  <c r="O9" i="31"/>
  <c r="N21" i="31"/>
  <c r="O15" i="27" a="1"/>
  <c r="O15" i="27" s="1"/>
  <c r="O15" i="31" s="1"/>
  <c r="O19" i="27" a="1"/>
  <c r="O19" i="27" s="1"/>
  <c r="O19" i="31" s="1"/>
  <c r="N28" i="31"/>
  <c r="O6" i="31"/>
  <c r="N4" i="31"/>
  <c r="N6" i="31"/>
  <c r="N8" i="31"/>
  <c r="N22" i="31"/>
  <c r="N26" i="31"/>
  <c r="O2" i="31"/>
  <c r="N2" i="31"/>
  <c r="N29" i="27"/>
  <c r="N29" i="29"/>
  <c r="O14" i="31"/>
  <c r="O12" i="31"/>
  <c r="N5" i="31"/>
  <c r="N13" i="31"/>
  <c r="O28" i="31"/>
  <c r="N20" i="31"/>
  <c r="N11" i="31"/>
  <c r="O10" i="31"/>
  <c r="N10" i="31"/>
  <c r="O3" i="31"/>
  <c r="O23" i="31"/>
  <c r="N19" i="31"/>
  <c r="O25" i="31"/>
  <c r="O21" i="31"/>
  <c r="O18" i="31"/>
  <c r="O16" i="31"/>
  <c r="N23" i="31"/>
  <c r="O26" i="31"/>
  <c r="O29" i="29"/>
  <c r="O4" i="31"/>
  <c r="O8" i="31"/>
  <c r="G29" i="31"/>
  <c r="F7" i="32"/>
  <c r="G15" i="13"/>
  <c r="H21" i="13"/>
  <c r="H10" i="13"/>
  <c r="E3" i="14" s="1"/>
  <c r="H18" i="13"/>
  <c r="G18" i="13"/>
  <c r="D4" i="14" s="1"/>
  <c r="G10" i="13"/>
  <c r="D2" i="14"/>
  <c r="D2" i="11"/>
  <c r="E2" i="14"/>
  <c r="D3" i="11"/>
  <c r="F2" i="9"/>
  <c r="F2" i="13" s="1"/>
  <c r="D6" i="9"/>
  <c r="D6" i="13" s="1"/>
  <c r="E2" i="9"/>
  <c r="E2" i="13" s="1"/>
  <c r="F17" i="9"/>
  <c r="F17" i="13" s="1"/>
  <c r="F9" i="9"/>
  <c r="F9" i="13" s="1"/>
  <c r="F16" i="9"/>
  <c r="F16" i="13" s="1"/>
  <c r="F8" i="9"/>
  <c r="F8" i="13" s="1"/>
  <c r="E22" i="9"/>
  <c r="E22" i="13" s="1"/>
  <c r="E6" i="9"/>
  <c r="E6" i="13" s="1"/>
  <c r="F15" i="9"/>
  <c r="F15" i="13" s="1"/>
  <c r="F7" i="9"/>
  <c r="F7" i="13" s="1"/>
  <c r="F22" i="9"/>
  <c r="F22" i="13" s="1"/>
  <c r="F14" i="9"/>
  <c r="F14" i="13" s="1"/>
  <c r="F6" i="9"/>
  <c r="F6" i="13" s="1"/>
  <c r="F21" i="9"/>
  <c r="F21" i="13" s="1"/>
  <c r="F13" i="9"/>
  <c r="F13" i="13" s="1"/>
  <c r="F5" i="9"/>
  <c r="F5" i="13" s="1"/>
  <c r="F20" i="9"/>
  <c r="F20" i="13" s="1"/>
  <c r="F12" i="9"/>
  <c r="F12" i="13" s="1"/>
  <c r="F4" i="9"/>
  <c r="F4" i="13" s="1"/>
  <c r="F19" i="9"/>
  <c r="F19" i="13" s="1"/>
  <c r="F11" i="9"/>
  <c r="F11" i="13" s="1"/>
  <c r="F3" i="9"/>
  <c r="F3" i="13" s="1"/>
  <c r="F18" i="9"/>
  <c r="F18" i="13" s="1"/>
  <c r="F10" i="9"/>
  <c r="F10" i="13" s="1"/>
  <c r="D22" i="9"/>
  <c r="D22" i="13" s="1"/>
  <c r="E17" i="9"/>
  <c r="E17" i="13" s="1"/>
  <c r="E9" i="9"/>
  <c r="E9" i="13" s="1"/>
  <c r="D14" i="9"/>
  <c r="D14" i="13" s="1"/>
  <c r="E16" i="9"/>
  <c r="E16" i="13" s="1"/>
  <c r="E8" i="9"/>
  <c r="E8" i="13" s="1"/>
  <c r="E15" i="9"/>
  <c r="E15" i="13" s="1"/>
  <c r="E7" i="9"/>
  <c r="E7" i="13" s="1"/>
  <c r="E14" i="9"/>
  <c r="E14" i="13" s="1"/>
  <c r="E21" i="9"/>
  <c r="E21" i="13" s="1"/>
  <c r="E13" i="9"/>
  <c r="E13" i="13" s="1"/>
  <c r="E5" i="9"/>
  <c r="E5" i="13" s="1"/>
  <c r="E20" i="9"/>
  <c r="E20" i="13" s="1"/>
  <c r="E12" i="9"/>
  <c r="E12" i="13" s="1"/>
  <c r="E4" i="9"/>
  <c r="E4" i="13" s="1"/>
  <c r="D2" i="9"/>
  <c r="E19" i="9"/>
  <c r="E19" i="13" s="1"/>
  <c r="E11" i="9"/>
  <c r="E11" i="13" s="1"/>
  <c r="E3" i="9"/>
  <c r="E3" i="13" s="1"/>
  <c r="E18" i="9"/>
  <c r="E18" i="13" s="1"/>
  <c r="E10" i="9"/>
  <c r="E10" i="13" s="1"/>
  <c r="D17" i="9"/>
  <c r="D17" i="13" s="1"/>
  <c r="D9" i="9"/>
  <c r="D9" i="13" s="1"/>
  <c r="D16" i="9"/>
  <c r="D16" i="13" s="1"/>
  <c r="D8" i="9"/>
  <c r="D8" i="13" s="1"/>
  <c r="D15" i="9"/>
  <c r="D15" i="13" s="1"/>
  <c r="D7" i="9"/>
  <c r="D7" i="13" s="1"/>
  <c r="D21" i="9"/>
  <c r="D21" i="13" s="1"/>
  <c r="D13" i="9"/>
  <c r="D13" i="13" s="1"/>
  <c r="D5" i="9"/>
  <c r="D5" i="13" s="1"/>
  <c r="D20" i="9"/>
  <c r="D20" i="13" s="1"/>
  <c r="D12" i="9"/>
  <c r="D12" i="13" s="1"/>
  <c r="D4" i="9"/>
  <c r="D4" i="13" s="1"/>
  <c r="D19" i="9"/>
  <c r="D19" i="13" s="1"/>
  <c r="D11" i="9"/>
  <c r="D11" i="13" s="1"/>
  <c r="D3" i="9"/>
  <c r="D3" i="13" s="1"/>
  <c r="D18" i="9"/>
  <c r="D18" i="13" s="1"/>
  <c r="D10" i="9"/>
  <c r="D10" i="13" s="1"/>
  <c r="O29" i="27" l="1"/>
  <c r="D2" i="13"/>
  <c r="D23" i="9"/>
  <c r="D4" i="11"/>
  <c r="N29" i="31"/>
  <c r="O29" i="31"/>
  <c r="D3" i="14"/>
  <c r="E4" i="14"/>
  <c r="E3" i="11"/>
  <c r="I2" i="11" s="1"/>
  <c r="E2" i="11"/>
  <c r="H2" i="11" l="1"/>
  <c r="E4" i="11"/>
  <c r="K8" i="9" a="1"/>
  <c r="K8" i="9" s="1"/>
  <c r="I10" i="10" a="1"/>
  <c r="I10" i="10" s="1"/>
  <c r="J3" i="9" a="1"/>
  <c r="J3" i="9" s="1"/>
  <c r="J14" i="9" a="1"/>
  <c r="J14" i="9" s="1"/>
  <c r="J9" i="9" a="1"/>
  <c r="J9" i="9" s="1"/>
  <c r="I11" i="10" a="1"/>
  <c r="I11" i="10" s="1"/>
  <c r="I2" i="10" a="1"/>
  <c r="I2" i="10" s="1"/>
  <c r="K7" i="9" a="1"/>
  <c r="K7" i="9" s="1"/>
  <c r="J22" i="10" a="1"/>
  <c r="J22" i="10" s="1"/>
  <c r="K3" i="9" a="1"/>
  <c r="K3" i="9" s="1"/>
  <c r="J17" i="9" a="1"/>
  <c r="J17" i="9" s="1"/>
  <c r="I9" i="10" a="1"/>
  <c r="I9" i="10" s="1"/>
  <c r="K17" i="9" a="1"/>
  <c r="K17" i="9" s="1"/>
  <c r="I18" i="10" a="1"/>
  <c r="I18" i="10" s="1"/>
  <c r="K12" i="9" a="1"/>
  <c r="K12" i="9" s="1"/>
  <c r="J8" i="10" a="1"/>
  <c r="J8" i="10" s="1"/>
  <c r="J12" i="10" a="1"/>
  <c r="J12" i="10" s="1"/>
  <c r="K15" i="9" a="1"/>
  <c r="K15" i="9" s="1"/>
  <c r="J20" i="9" a="1"/>
  <c r="J20" i="9" s="1"/>
  <c r="K2" i="9" a="1"/>
  <c r="K2" i="9" s="1"/>
  <c r="I7" i="10" a="1"/>
  <c r="I7" i="10" s="1"/>
  <c r="K21" i="9" a="1"/>
  <c r="K21" i="9" s="1"/>
  <c r="I12" i="10" a="1"/>
  <c r="I12" i="10" s="1"/>
  <c r="J21" i="9" a="1"/>
  <c r="J21" i="9" s="1"/>
  <c r="J6" i="9" a="1"/>
  <c r="J6" i="9" s="1"/>
  <c r="I21" i="10" a="1"/>
  <c r="I21" i="10" s="1"/>
  <c r="I8" i="10" a="1"/>
  <c r="I8" i="10" s="1"/>
  <c r="J7" i="9" a="1"/>
  <c r="J7" i="9" s="1"/>
  <c r="K22" i="9" a="1"/>
  <c r="K22" i="9" s="1"/>
  <c r="J13" i="9" a="1"/>
  <c r="J13" i="9" s="1"/>
  <c r="I6" i="10" a="1"/>
  <c r="I6" i="10" s="1"/>
  <c r="J22" i="9" a="1"/>
  <c r="J22" i="9" s="1"/>
  <c r="J18" i="9" a="1"/>
  <c r="J18" i="9" s="1"/>
  <c r="I15" i="10" a="1"/>
  <c r="I15" i="10" s="1"/>
  <c r="J8" i="9" a="1"/>
  <c r="J8" i="9" s="1"/>
  <c r="J5" i="9" a="1"/>
  <c r="J5" i="9" s="1"/>
  <c r="I14" i="10" a="1"/>
  <c r="I14" i="10" s="1"/>
  <c r="J15" i="9" a="1"/>
  <c r="J15" i="9" s="1"/>
  <c r="J12" i="9" a="1"/>
  <c r="J12" i="9" s="1"/>
  <c r="I12" i="13" s="1"/>
  <c r="J2" i="9" a="1"/>
  <c r="J2" i="9" s="1"/>
  <c r="I13" i="10" a="1"/>
  <c r="I13" i="10" s="1"/>
  <c r="K18" i="9" a="1"/>
  <c r="K18" i="9" s="1"/>
  <c r="K6" i="9" a="1"/>
  <c r="K6" i="9" s="1"/>
  <c r="I19" i="10" a="1"/>
  <c r="I19" i="10" s="1"/>
  <c r="J16" i="10" a="1"/>
  <c r="J16" i="10" s="1"/>
  <c r="K19" i="9" a="1"/>
  <c r="K19" i="9" s="1"/>
  <c r="K11" i="9" a="1"/>
  <c r="K11" i="9" s="1"/>
  <c r="J4" i="9" a="1"/>
  <c r="J4" i="9" s="1"/>
  <c r="K16" i="9" a="1"/>
  <c r="K16" i="9" s="1"/>
  <c r="K10" i="9" a="1"/>
  <c r="K10" i="9" s="1"/>
  <c r="I4" i="10" a="1"/>
  <c r="I4" i="10" s="1"/>
  <c r="I20" i="10" a="1"/>
  <c r="I20" i="10" s="1"/>
  <c r="K14" i="9" a="1"/>
  <c r="K14" i="9" s="1"/>
  <c r="J19" i="9" a="1"/>
  <c r="J19" i="9" s="1"/>
  <c r="J11" i="9" a="1"/>
  <c r="J11" i="9" s="1"/>
  <c r="K4" i="9" a="1"/>
  <c r="K4" i="9" s="1"/>
  <c r="J16" i="9" a="1"/>
  <c r="J16" i="9" s="1"/>
  <c r="J10" i="9" a="1"/>
  <c r="J10" i="9" s="1"/>
  <c r="I10" i="13" s="1"/>
  <c r="I3" i="10" a="1"/>
  <c r="I3" i="10" s="1"/>
  <c r="I5" i="10" a="1"/>
  <c r="I5" i="10" s="1"/>
  <c r="I17" i="10" a="1"/>
  <c r="I17" i="10" s="1"/>
  <c r="K5" i="9" a="1"/>
  <c r="K5" i="9" s="1"/>
  <c r="J13" i="10" a="1"/>
  <c r="J13" i="10" s="1"/>
  <c r="J9" i="10" a="1"/>
  <c r="J9" i="10" s="1"/>
  <c r="J6" i="10" a="1"/>
  <c r="J6" i="10" s="1"/>
  <c r="J18" i="10" a="1"/>
  <c r="J18" i="10" s="1"/>
  <c r="J11" i="10" a="1"/>
  <c r="J11" i="10" s="1"/>
  <c r="J4" i="10" a="1"/>
  <c r="J4" i="10" s="1"/>
  <c r="J20" i="10" a="1"/>
  <c r="J20" i="10" s="1"/>
  <c r="J19" i="10" a="1"/>
  <c r="J19" i="10" s="1"/>
  <c r="J17" i="10" a="1"/>
  <c r="J17" i="10" s="1"/>
  <c r="J3" i="10" a="1"/>
  <c r="J3" i="10" s="1"/>
  <c r="J5" i="10" a="1"/>
  <c r="J5" i="10" s="1"/>
  <c r="J7" i="10" a="1"/>
  <c r="J7" i="10" s="1"/>
  <c r="J21" i="10" a="1"/>
  <c r="J21" i="10" s="1"/>
  <c r="J10" i="10" a="1"/>
  <c r="J10" i="10" s="1"/>
  <c r="J14" i="10" a="1"/>
  <c r="J14" i="10" s="1"/>
  <c r="J2" i="10" a="1"/>
  <c r="J2" i="10" s="1"/>
  <c r="J15" i="10" a="1"/>
  <c r="J15" i="10" s="1"/>
  <c r="K20" i="9" a="1"/>
  <c r="K20" i="9" s="1"/>
  <c r="K9" i="9" a="1"/>
  <c r="K9" i="9" s="1"/>
  <c r="K13" i="9" a="1"/>
  <c r="K13" i="9" s="1"/>
  <c r="I16" i="10" a="1"/>
  <c r="I16" i="10" s="1"/>
  <c r="I22" i="10" a="1"/>
  <c r="I22" i="10" s="1"/>
  <c r="I5" i="13" l="1"/>
  <c r="J8" i="13"/>
  <c r="I3" i="13"/>
  <c r="J21" i="13"/>
  <c r="J7" i="13"/>
  <c r="J12" i="13"/>
  <c r="J15" i="13"/>
  <c r="I8" i="13"/>
  <c r="I2" i="13"/>
  <c r="I17" i="13"/>
  <c r="J2" i="13"/>
  <c r="I15" i="13"/>
  <c r="I11" i="13"/>
  <c r="I14" i="13"/>
  <c r="J4" i="13"/>
  <c r="J6" i="13"/>
  <c r="I20" i="13"/>
  <c r="I9" i="13"/>
  <c r="B3" i="14" s="1"/>
  <c r="J10" i="13"/>
  <c r="J18" i="13"/>
  <c r="J22" i="13"/>
  <c r="J3" i="13"/>
  <c r="I4" i="13"/>
  <c r="I7" i="13"/>
  <c r="J17" i="13"/>
  <c r="I13" i="13"/>
  <c r="I18" i="13"/>
  <c r="I6" i="13"/>
  <c r="I21" i="13"/>
  <c r="I19" i="13"/>
  <c r="J19" i="13"/>
  <c r="I22" i="13"/>
  <c r="I16" i="13"/>
  <c r="J14" i="13"/>
  <c r="J11" i="13"/>
  <c r="J16" i="13"/>
  <c r="J9" i="13"/>
  <c r="J13" i="13"/>
  <c r="J5" i="13"/>
  <c r="J20" i="13"/>
  <c r="B2" i="14" l="1"/>
  <c r="B5" i="14" s="1"/>
  <c r="C2" i="14"/>
  <c r="C4" i="14"/>
  <c r="C3" i="14"/>
  <c r="B4"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<sst xmlns="http://schemas.openxmlformats.org/spreadsheetml/2006/main" count="1409" uniqueCount="163">
  <si>
    <t>Salary</t>
  </si>
  <si>
    <t>Title</t>
  </si>
  <si>
    <t>Linda McGregor</t>
  </si>
  <si>
    <t>Osman Westley</t>
  </si>
  <si>
    <t>Kurt Schwenke</t>
  </si>
  <si>
    <t>Pythios MacIntyre</t>
  </si>
  <si>
    <t>Tobias Aliprandi</t>
  </si>
  <si>
    <t>Edvard Messer</t>
  </si>
  <si>
    <t>Judith Weaver</t>
  </si>
  <si>
    <t>Marjut Kolbe</t>
  </si>
  <si>
    <t>Lennart Mas</t>
  </si>
  <si>
    <t>Raja Fenstermacher</t>
  </si>
  <si>
    <t>Name</t>
  </si>
  <si>
    <t>Accountant 1</t>
  </si>
  <si>
    <t>Accountant 2</t>
  </si>
  <si>
    <t>Planner 1</t>
  </si>
  <si>
    <t>Planner 2</t>
  </si>
  <si>
    <t>Director</t>
  </si>
  <si>
    <t>GIS Support</t>
  </si>
  <si>
    <t>Data Analyst</t>
  </si>
  <si>
    <t>Public Outreach Coordinator</t>
  </si>
  <si>
    <t>Agency</t>
  </si>
  <si>
    <t>MPO Staff</t>
  </si>
  <si>
    <t>Member Agency 1</t>
  </si>
  <si>
    <t>Member Agency 2</t>
  </si>
  <si>
    <t>Project</t>
  </si>
  <si>
    <t>Staff</t>
  </si>
  <si>
    <t>Tasks</t>
  </si>
  <si>
    <t>Deliverables</t>
  </si>
  <si>
    <t>Start Date</t>
  </si>
  <si>
    <t>End Date</t>
  </si>
  <si>
    <t>Regional Planning</t>
  </si>
  <si>
    <t>Transportation Improvement Program</t>
  </si>
  <si>
    <t>Transportation Modeling</t>
  </si>
  <si>
    <t>Data Management</t>
  </si>
  <si>
    <t>MPO Opertations</t>
  </si>
  <si>
    <t>Special Study 1</t>
  </si>
  <si>
    <t>Special Study 2</t>
  </si>
  <si>
    <t>PIN</t>
  </si>
  <si>
    <t>2021A1</t>
  </si>
  <si>
    <t>2021A2</t>
  </si>
  <si>
    <t>2021A3</t>
  </si>
  <si>
    <t>2021A4</t>
  </si>
  <si>
    <t>2021A5</t>
  </si>
  <si>
    <t>2021A6</t>
  </si>
  <si>
    <t>2021A7</t>
  </si>
  <si>
    <t>Days Assigned</t>
  </si>
  <si>
    <t>• Task 1
• Task 2
• Task 3</t>
  </si>
  <si>
    <t xml:space="preserve">• Deliverable 1
• Deliverable 2
</t>
  </si>
  <si>
    <t>Telephone / Internet</t>
  </si>
  <si>
    <t>Supplies</t>
  </si>
  <si>
    <t>Travel</t>
  </si>
  <si>
    <t>Printing &amp; Reproduction</t>
  </si>
  <si>
    <t>Postage</t>
  </si>
  <si>
    <t>Conference / Training</t>
  </si>
  <si>
    <t>Other (Specify)</t>
  </si>
  <si>
    <t>Item</t>
  </si>
  <si>
    <t>Category</t>
  </si>
  <si>
    <t>Paper</t>
  </si>
  <si>
    <t>MPO Conference</t>
  </si>
  <si>
    <t>Newsletter</t>
  </si>
  <si>
    <t>Office Communications</t>
  </si>
  <si>
    <t>Mailings</t>
  </si>
  <si>
    <t>Annual Meeting</t>
  </si>
  <si>
    <t>Cost</t>
  </si>
  <si>
    <t>Pop-up Event</t>
  </si>
  <si>
    <t>Technology / Computers &gt; $5,000</t>
  </si>
  <si>
    <t>Technology / Computers &lt; $5,000</t>
  </si>
  <si>
    <t>Training and Development</t>
  </si>
  <si>
    <t>Public Outreach / Translation</t>
  </si>
  <si>
    <t>Consultant</t>
  </si>
  <si>
    <t>Advanced Modeling Computers</t>
  </si>
  <si>
    <t>Modeling Training</t>
  </si>
  <si>
    <t>Language Translations</t>
  </si>
  <si>
    <t>Study Support</t>
  </si>
  <si>
    <t>FHWA %</t>
  </si>
  <si>
    <t>FTA %</t>
  </si>
  <si>
    <t>Staff Cost</t>
  </si>
  <si>
    <t>Direct Expenses</t>
  </si>
  <si>
    <t>Support Costs</t>
  </si>
  <si>
    <t>Consultant Cost</t>
  </si>
  <si>
    <t>Project Description</t>
  </si>
  <si>
    <t>Planning Assumptions</t>
  </si>
  <si>
    <t>Amendments will be processed to maintain Plan 2045 and Plan 2050 as accurate and working planning documents for NYMTC’s transportation planning process and as a basis for establishing this process’ fiscal contraint. Plan 2050, the accompanying CMP Status Report and other special elements will be finalized and adopted.</t>
  </si>
  <si>
    <t>NYMTC will cumulatively process approximately fifteen amendments to Plan 2045 or Plan 2050 during the program year to maintain and update various sections. Plan 2050 and its specialized elements such as the Freight Plan, Coordinated Plan, and Pedestrian-Bicycle will be adopted in September 2021.</t>
  </si>
  <si>
    <t>Non-exempt amendments to the FFYs 2020-2024 will be prepared to accompany the adoption of Plan 2050, NYMTC’s next RTP, to be adopted in September 2021. Up to 125 amendments and up to 150 administrative modifications of the FFYs 2020-2024 TIP will be adopted or processed. Statewide program solicitations for the Transportation Alternatives Program (TAP) and Section 5310 program will be supported. Support will also be provided for federal discretionary program solicitations such as the Highway Safety Improvement Program (HSIP), Better Utilizing Investments to Leverage Development (BUILD), Infrastructure for Rebuilding America (INFRA), Congestion Mitigation and Air Quality Improvement (CMAQ), and Section 5339 discretionary programs, as needed. Preliminary development of the FFYs 2024-2028 TIP, which is scheduled for adoption in September 2023, will begin in the fourth quarter of the SFY 2021-22 program year.</t>
  </si>
  <si>
    <t>This project will support the development, adoption, and management of the TIP, as well as the solicitation and evaluation of project proposals for inclusion in the TIP under specific funding programs.</t>
  </si>
  <si>
    <t>The NYBPM 2012 BY Model is fully implemented and has replaced the NYBPM 2010 BY Model. NYBPM 2017 BY development will begin. NYMTC will update and maintain the PPS-AQ and PPS-CMP and modify the PIMS tool for data collection for regional emissions analysis. NYMTC will supply input and output data, upon request, from member agencies and the public. NYMTC staff may conduct special analysis for member agencies, as requested. A Greenhouse Gas Emissions Inventory Report will be prepared following adoption of the Transportation Conformity Determination that will be adopted alongside PLAN 2050.</t>
  </si>
  <si>
    <t>This project will maintain NYMTC’s NYBPM and other tools needed to meet federal requirements for the planning assumptions that must be used for the RTP, CMP, regional emissions analyses, and other planning products. NYMTC will respond to data requests from member agencies, stakeholders, and the public, and conduct special analyses as needed. NYMTC will continue to maintain PIMS and improve its efficiency through enhancements such as more user-friendly interfaces, simpler data extraction into PIMS, and Geographic Information Systems (GIS) to visualize projects.</t>
  </si>
  <si>
    <t>This project will undertake annual data collection activities to maintain and enhance NYMTC’s analytical capacity, including NYBPM support and TPM reporting.</t>
  </si>
  <si>
    <t>Support NYBPM data collection</t>
  </si>
  <si>
    <t>This project supports the required elements of NYMTC’s day-to-day operations in the implementation of the metropolitan transportation planning process. These elements include the on-going implementation of, and updates to, the Public Involvement Plan, Title VI Program, and LAP. NYMTC’s Information Technology capabilities will be maintained and enhanced where practical. The activities of the Council, of PFAC, and of the TCCs will be supported. Activities of the Council’s, PFAC’s and the TCC’s committees and subcommittees, advisory working groups, and other ad-hoc working groups will be supported. Committees and advisory bodies related to studies funded through NYMTC’s UPWP will be supported. NYMTC’s activities in the multi-state Metropolitan Area Planning (MAP) Forum, the New York State Association of MPOs (NYSAMPO), the Association of Metropolitan Planning Organizations (AMPO) and the National Association of Regional Councils (NARC) will be supported.</t>
  </si>
  <si>
    <t>Support the MPO</t>
  </si>
  <si>
    <t>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t>
  </si>
  <si>
    <t>This project will complete a series of up to ten half-day workshops targeted to community participants in the fields of municipal government, planning, engineering, law enforcement, education, business leaders, and interested citizens. Workshop topics will be established working with the relevant NYMTC member and local sponsors, with an emphasis on two major types of workshops walkable community workshops and parking management workshops. Workshop locations will be selected by NYMTC's members in the context of Plan 2050's Community Development Emphasis Areas. These workshops provide planning assistance to local governments and are geared towards stakeholder participation in specific focus areas. The consultant facilitator will provide a presentation that includes guidance for evaluating and implementing improvements. It will be tailored to the specific situation observed in the focus area.</t>
  </si>
  <si>
    <t>Revenue</t>
  </si>
  <si>
    <t>Program</t>
  </si>
  <si>
    <t>FTA</t>
  </si>
  <si>
    <t>FHWA</t>
  </si>
  <si>
    <t>Split</t>
  </si>
  <si>
    <t>GIS Software</t>
  </si>
  <si>
    <t>FHWA Consultant Cost</t>
  </si>
  <si>
    <t>FTA Consultant Costs</t>
  </si>
  <si>
    <t>FHWA_Consultant Cost</t>
  </si>
  <si>
    <t>FTA_Consultant Cost</t>
  </si>
  <si>
    <t>Dedicated</t>
  </si>
  <si>
    <t>Remaining</t>
  </si>
  <si>
    <t>Program Split</t>
  </si>
  <si>
    <t>FTA_Staff_Other</t>
  </si>
  <si>
    <t>FHWA_Staff_Other</t>
  </si>
  <si>
    <t>% Completed</t>
  </si>
  <si>
    <t>FHWA_Consultant</t>
  </si>
  <si>
    <t>FTA_Consultant</t>
  </si>
  <si>
    <t>2022A1</t>
  </si>
  <si>
    <t>2022A3</t>
  </si>
  <si>
    <t>2022A4</t>
  </si>
  <si>
    <t>2022A5</t>
  </si>
  <si>
    <t>Planner 5</t>
  </si>
  <si>
    <t>Planning Coordinator</t>
  </si>
  <si>
    <t>Modelling Specialist</t>
  </si>
  <si>
    <t>Fausto Dodson</t>
  </si>
  <si>
    <t>Claudette Mayer</t>
  </si>
  <si>
    <t>Dina Rubio</t>
  </si>
  <si>
    <t>Effie Macdonald</t>
  </si>
  <si>
    <t>2022A2</t>
  </si>
  <si>
    <t>Special Study NYC</t>
  </si>
  <si>
    <t>Special Study MHSTCC</t>
  </si>
  <si>
    <t xml:space="preserve">This </t>
  </si>
  <si>
    <t>2022A6</t>
  </si>
  <si>
    <t>2022A7</t>
  </si>
  <si>
    <t>Funds Year</t>
  </si>
  <si>
    <t>FHWA Consultant Cost_OLD</t>
  </si>
  <si>
    <t>FTA Consultant Costs _OLD</t>
  </si>
  <si>
    <t>FHWA_Staff_Other_OLD</t>
  </si>
  <si>
    <t>FTA_Staff_Other_Old</t>
  </si>
  <si>
    <t>FHWA Consultant Cost New</t>
  </si>
  <si>
    <t>FTA Consultant Costs New</t>
  </si>
  <si>
    <t>FHWA_Staff_Other New</t>
  </si>
  <si>
    <t>FTA_Staff_Other New</t>
  </si>
  <si>
    <t>Savings / Backlog</t>
  </si>
  <si>
    <t>Lorem ipsum dolor sit amet, consectetur adipiscing elit. Aliquam in euismod neque. Quisque vel nunc augue. Curabitur vitae turpis pharetra, viverra felis id, interdum magna. Nullam leo urna, dignissim sollicitudin pulvinar ac, lobortis ac diam. Duis efficitur blandit eros, vel efficitur neque bibendum ac. Nullam quis quam in nunc efficitur tristique. Praesent condimentum turpis felis, eget convallis ex dignissim ut. Fusce sit amet nulla non ligula rhoncus lobortis sed eget lacus. Vivamus malesuada neque mi, sit amet ornare odio ornare vitae. Maecenas ultricies mauris eu est tincidunt, sit amet pharetra enim hendrerit. Praesent condimentum odio et nisi fringilla, quis consequat felis dignissim.</t>
  </si>
  <si>
    <t>Mauris hendrerit nisl nec nulla auctor, ut hendrerit magna rutrum. Integer sed imperdiet lacus. Donec viverra mattis porta. Nam quis urna sed lectus ultricies vestibulum non dignissim mi. Sed bibendum nec ex eu venenatis. Nam nec dui pharetra, venenatis ante vitae, rutrum sapien. Ut ut mauris elementum, euismod urna dignissim, luctus nulla. Nunc volutpat dolor ut posuere sollicitudin. Etiam tincidunt nisi ut convallis auctor. Integer viverra scelerisque nisl eu iaculis. Mauris ipsum ligula, tristique eu lobortis sit amet, pretium et metus. Curabitur imperdiet, mi nec pellentesque pharetra, nisi lacus aliquet erat, et volutpat odio odio vitae felis. Fusce pulvinar ligula non tempus ornare. Duis auctor odio ut massa mattis aliquam. Vestibulum at tellus nec lectus ultrices fringilla.</t>
  </si>
  <si>
    <t>Aenean vitae lacus sagittis, gravida nisl quis, maximus dui. Pellentesque turpis orci, condimentum ut elit convallis, commodo lobortis augue. Aenean ligula turpis, porta id commodo a, viverra eget erat. Aliquam erat volutpat. Aenean a bibendum nulla. Sed tincidunt malesuada ante id dapibus. Praesent lobortis sit amet quam et pretium. Ut sed accumsan ligula. Suspendisse placerat commodo ipsum, aliquam tempus elit ultricies eu. Phasellus convallis in felis tempus efficitur. Nullam sem ex, dapibus sit amet justo ut, faucibus fringilla nisi. Aliquam ut finibus ipsum. Ut consectetur diam ac aliquam sodales. Suspendisse nec sapien nec ex ultrices egestas et in sem.</t>
  </si>
  <si>
    <t>Nam commodo non tortor ac sodales. Integer id elementum dui, sed cursus neque. Aliquam pretium libero lorem, sit amet venenatis sem sodales a. Duis sed diam in leo tempus vestibulum. Nunc ultrices, ante sit amet facilisis cursus, sem mi laoreet est, eu porttitor nulla dolor at massa. Fusce sit amet ultricies justo. Sed dignissim eleifend erat vitae ultrices. Phasellus eleifend non ligula eleifend ornare.</t>
  </si>
  <si>
    <t>Sed vulputate mi mi, at fringilla enim fermentum vel. Sed mi nisi, euismod non mi id, ornare venenatis elit. Quisque a leo ac leo consectetur aliquam vitae nec mi. Duis fringilla leo vitae consequat dignissim. Integer commodo sed dolor vel egestas. In ut lobortis purus. Fusce dictum tempor blandit. Aenean congue ex a est venenatis congue. Mauris porta accumsan hendrerit. Fusce vel diam et ante ultricies bibendum sed ut ipsum. Quisque eu tortor dolor. Sed et risus aliquet, ultricies purus ut, eleifend elit. Sed laoreet fermentum eros non scelerisque.</t>
  </si>
  <si>
    <t>Progress Report</t>
  </si>
  <si>
    <t>Pellentesque porttitor tortor quis malesuada luctus. Quisque vel ex elit. Mauris efficitur odio ac felis tincidunt iaculis. Morbi sollicitudin odio quis orci lacinia vehicula. Vivamus neque ligula, scelerisque et ante et, vehicula iaculis turpis. Sed non nibh felis. Nullam eu augue a nibh dictum blandit at eget dui. Fusce hendrerit augue ut sodales hendrerit. Proin in ultrices erat, in pellentesque dolor.</t>
  </si>
  <si>
    <t>Sed eget augue non sem vestibulum hendrerit dictum id mauris. Nulla convallis euismod mattis. Nulla sed lobortis nisi. Integer dapibus est nulla, tristique consectetur nisl tempus et. Class aptent taciti sociosqu ad litora torquent per conubia nostra, per inceptos himenaeos. Suspendisse tempus odio sit amet tellus aliquet, vitae faucibus odio venenatis. Nulla id ipsum magna. Integer rutrum convallis blandit.</t>
  </si>
  <si>
    <t>Project Status</t>
  </si>
  <si>
    <t>Completed</t>
  </si>
  <si>
    <t>On-going</t>
  </si>
  <si>
    <t>Lorem ipsum dolor sit amet, sit te audiam persecuti. Facilisis hendrerit eam ad. Per hinc partiendo at. No tollit utroque mea, vel et quando partem omittam, te usu tractatos consequat. Quo magna prompta ex, te vidit consequuntur has. Ne graeco voluptua electram cum. Sint everti has eu, inimicus oportere in vel.</t>
  </si>
  <si>
    <t>Ne partiendo deseruisse eos, per evertitur liberavisse intellegebat ei. Mea in omnesque omittantur, epicurei splendide repudiandae at vix. Sed solum maiestatis adipiscing id, splendide quaerendum eam no, sea animal efficiendi deterruisset ne. An duo virtute feugiat electram, vim summo omnes at, has honestatis consequuntur in. Utinam volutpat est eu.</t>
  </si>
  <si>
    <t>Nam sonet omittam postulant te, appetere expetendis qui et. Ius veri aliquid consetetur ad, ut vide magna accusam vim. Pri id soleat dolorem, officiis pertinacia ut nam, qui an ferri exerci nostrud. Id pro putent constituto interpretaris. Ea eius percipit contentiones qui. Mel tempor abhorreant instructior ea, nam ut quis dicunt senserit. Ex mel dicta paulo adipisci, qui causae fastidii incorrupte ad, at legere iisque feugiat usu.</t>
  </si>
  <si>
    <t>His no summo feugiat senserit, usu no platonem omittantur. Pro at veniam accumsan, et efficiendi neglegentur per. Ut tota consequat abhorreant has, ex aliquid intellegebat vel. Diam altera adolescens ad usu, homero appetere conclusionemque eam et, duo salutatus definitiones no. An vix soleat phaedrum, ne meis debet quaestio eam, an vim erant aliquid.</t>
  </si>
  <si>
    <t>Feugiat cotidieque est ne. Mel ad tritani gubergren, ea eruditi platonem disputationi mea. Te detraxit adversarium philosophia est, ius te stet reformidans. Ad qui brute quaeque erroribus, te vis augue error. Stet fuisset no has, et pro duis consul.</t>
  </si>
  <si>
    <t>In usu argumentum efficiantur definitiones. Error nemore no ius, ea democritum interesset referrentur eum, cu recteque expetendis nec. Has tempor mentitum ei. Pro feugiat fastidii in. Nulla fabulas periculis ei vis, ad percipit salutatus scriptorem sea, eam an sale alterum.</t>
  </si>
  <si>
    <t>Ad dolor oporteat sea, nec at antiopam delicatissimi, qui fierent scribentur deterruisset ea. At soleat nemore atomorum eum. Repudiare intellegebat eos ea. Omnes equidem usu ex, possit dicunt quaerendum sea an.</t>
  </si>
  <si>
    <t>MPO Operations</t>
  </si>
  <si>
    <t>New York State Department of Transportation, on behalf of the New York Metropolitan Transportation Council (NYMTC)</t>
  </si>
  <si>
    <t>RFP #C000797: NYMTC UPWP Web Application Project</t>
  </si>
  <si>
    <t>Attachment 18 - Product Demonstration Scenario Data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</si>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</sst>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0.000%"/>
    <numFmt numFmtId="166" formatCode="[$-F800]dddd\,\ mmmm\ dd\,\ yyyy"/>
    <numFmt numFmtId="167" formatCode="_(* #,##0_);_(* \(#,##0\);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Segoe UI"/>
      <family val="2"/>
    </font>
    <font>
      <sz val="8"/>
      <name val="Calibri"/>
      <family val="2"/>
      <scheme val="minor"/>
    </font>
    <font>
      <sz val="11"/>
      <color rgb="FF000000"/>
      <name val="Arial"/>
      <family val="2"/>
    </font>
    <font>
      <b/>
      <sz val="10"/>
      <name val="Calibri"/>
      <family val="2"/>
      <scheme val="minor"/>
    </font>
    <font>
      <sz val="10"/>
      <name val="Calibri"/>
      <family val="2"/>
      <scheme val="minor"/>
    </font>
    <font>
      <b/>
      <sz val="12"/>
      <name val="Calibri"/>
      <family val="2"/>
      <scheme val="minor"/>
    </font>
  </fonts>
  <fills count="4">
    <fill>
      <patternFill patternType="none"/>
    </fill>
    <fill>
      <patternFill patternType="gray125"/>
    </fill>
    <fill>
      <patternFill patternType="solid">
        <fgColor theme="0" tint="-0.14999847407452621"/>
        <bgColor theme="0" tint="-0.14999847407452621"/>
      </patternFill>
    </fill>
    <fill>
      <patternFill patternType="solid">
        <fgColor rgb="FFFFC000"/>
        <bgColor indexed="64"/>
      </patternFill>
    </fill>
  </fills>
  <borders count="3">
    <border>
      <left/>
      <right/>
      <top/>
      <bottom/>
      <diagonal/>
    </border>
    <border>
      <left/>
      <right/>
      <top style="thin">
        <color theme="1"/>
      </top>
      <bottom style="thin">
        <color theme="1"/>
      </bottom>
      <diagonal/>
    </border>
    <border>
      <left/>
      <right/>
      <top/>
      <bottom style="thin">
        <color theme="1"/>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2" fillId="0" borderId="1" xfId="0" applyFont="1" applyBorder="1"/>
    <xf numFmtId="0" fontId="0" fillId="2" borderId="0" xfId="0" applyFont="1" applyFill="1"/>
    <xf numFmtId="0" fontId="0" fillId="0" borderId="2" xfId="0" applyFont="1" applyBorder="1"/>
    <xf numFmtId="0" fontId="3" fillId="0" borderId="0" xfId="0" applyFont="1" applyAlignment="1">
      <alignment vertical="center" wrapText="1"/>
    </xf>
    <xf numFmtId="0" fontId="0" fillId="0" borderId="0" xfId="0" applyAlignment="1">
      <alignment wrapText="1"/>
    </xf>
    <xf numFmtId="0" fontId="3" fillId="2" borderId="0" xfId="0" applyFont="1" applyFill="1" applyAlignment="1">
      <alignment vertical="center" wrapText="1"/>
    </xf>
    <xf numFmtId="0" fontId="3" fillId="0" borderId="2" xfId="0" applyFont="1" applyBorder="1" applyAlignment="1">
      <alignment vertical="center" wrapText="1"/>
    </xf>
    <xf numFmtId="44" fontId="0" fillId="0" borderId="0" xfId="1" applyFont="1"/>
    <xf numFmtId="9" fontId="0" fillId="0" borderId="0" xfId="2" applyFont="1"/>
    <xf numFmtId="164" fontId="0" fillId="0" borderId="0" xfId="1" applyNumberFormat="1" applyFont="1"/>
    <xf numFmtId="164" fontId="0" fillId="0" borderId="0" xfId="0" applyNumberFormat="1"/>
    <xf numFmtId="164" fontId="0" fillId="0" borderId="0" xfId="2" applyNumberFormat="1" applyFont="1"/>
    <xf numFmtId="165" fontId="0" fillId="0" borderId="0" xfId="2" applyNumberFormat="1" applyFont="1"/>
    <xf numFmtId="165" fontId="0" fillId="0" borderId="0" xfId="0" applyNumberFormat="1"/>
    <xf numFmtId="0" fontId="0" fillId="0" borderId="0" xfId="0" applyFont="1"/>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9" fontId="0" fillId="0" borderId="0" xfId="2" quotePrefix="1" applyFont="1"/>
    <xf numFmtId="164" fontId="0" fillId="2" borderId="0" xfId="1" applyNumberFormat="1" applyFont="1" applyFill="1"/>
    <xf numFmtId="164" fontId="0" fillId="0" borderId="2" xfId="1" applyNumberFormat="1" applyFont="1" applyBorder="1"/>
    <xf numFmtId="43" fontId="0" fillId="0" borderId="0" xfId="3" applyFont="1"/>
    <xf numFmtId="44" fontId="0" fillId="0" borderId="0" xfId="1" applyNumberFormat="1" applyFont="1"/>
    <xf numFmtId="164" fontId="0" fillId="0" borderId="0" xfId="0" applyNumberFormat="1" applyFont="1"/>
    <xf numFmtId="9" fontId="0" fillId="0" borderId="0" xfId="3" applyNumberFormat="1" applyFont="1"/>
    <xf numFmtId="44" fontId="0" fillId="0" borderId="0" xfId="0" applyNumberFormat="1"/>
    <xf numFmtId="0" fontId="5" fillId="0" borderId="0" xfId="0" applyFont="1" applyAlignment="1">
      <alignment wrapText="1"/>
    </xf>
    <xf numFmtId="43" fontId="1" fillId="0" borderId="0" xfId="0" applyNumberFormat="1" applyFont="1"/>
    <xf numFmtId="9" fontId="1" fillId="0" borderId="0" xfId="0" applyNumberFormat="1" applyFont="1"/>
    <xf numFmtId="43" fontId="0" fillId="0" borderId="0" xfId="0" applyNumberFormat="1" applyFont="1"/>
    <xf numFmtId="9" fontId="0" fillId="0" borderId="0" xfId="0" applyNumberFormat="1" applyFont="1"/>
    <xf numFmtId="164" fontId="1" fillId="0" borderId="0" xfId="0" applyNumberFormat="1" applyFont="1"/>
    <xf numFmtId="167" fontId="0" fillId="0" borderId="0" xfId="3" applyNumberFormat="1" applyFont="1"/>
    <xf numFmtId="9" fontId="1" fillId="0" borderId="0" xfId="2" applyFont="1"/>
    <xf numFmtId="44" fontId="1" fillId="0" borderId="0" xfId="0" applyNumberFormat="1" applyFont="1"/>
    <xf numFmtId="0" fontId="6" fillId="0" borderId="0" xfId="0" applyFont="1" applyAlignment="1">
      <alignment horizontal="center" wrapText="1"/>
    </xf>
    <xf numFmtId="0" fontId="7" fillId="0" borderId="0" xfId="0" applyFont="1" applyAlignment="1">
      <alignment horizontal="center" wrapText="1"/>
    </xf>
    <xf numFmtId="0" fontId="0" fillId="0" borderId="0" xfId="0" applyAlignment="1">
      <alignment horizontal="center" wrapText="1"/>
    </xf>
    <xf numFmtId="0" fontId="8" fillId="0" borderId="0" xfId="0" applyFont="1" applyAlignment="1">
      <alignment horizontal="center" wrapText="1"/>
    </xf>
    <xf numFmtId="0" fontId="0" fillId="0" borderId="0" xfId="0" applyAlignment="1">
      <alignment wrapText="1"/>
    </xf>
    <xf numFmtId="166" fontId="8" fillId="3" borderId="0" xfId="0" applyNumberFormat="1" applyFont="1" applyFill="1" applyAlignment="1">
      <alignment horizontal="center" wrapText="1"/>
    </xf>
    <xf numFmtId="166" fontId="7" fillId="3" borderId="0" xfId="0" applyNumberFormat="1" applyFont="1" applyFill="1" applyAlignment="1">
      <alignment horizontal="center" wrapText="1"/>
    </xf>
    <xf numFmtId="0" fontId="2" fillId="0" borderId="0" xfId="0" applyFont="1" applyAlignment="1">
      <alignment horizontal="center"/>
    </xf>
  </cellXfs>
  <cellStyles count="4">
    <cellStyle name="Comma" xfId="3" builtinId="3"/>
    <cellStyle name="Currency" xfId="1" builtinId="4"/>
    <cellStyle name="Normal" xfId="0" builtinId="0"/>
    <cellStyle name="Percent" xfId="2" builtinId="5"/>
  </cellStyles>
  <dxfs count="238">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3" formatCode="0%"/>
    </dxf>
    <dxf>
      <font>
        <b val="0"/>
        <i val="0"/>
        <strike val="0"/>
        <condense val="0"/>
        <extend val="0"/>
        <outline val="0"/>
        <shadow val="0"/>
        <u val="none"/>
        <vertAlign val="baseline"/>
        <sz val="11"/>
        <color theme="1"/>
        <name val="Calibri"/>
        <family val="2"/>
        <scheme val="minor"/>
      </font>
      <numFmt numFmtId="13" formatCode="0%"/>
    </dxf>
    <dxf>
      <font>
        <b val="0"/>
        <i val="0"/>
        <strike val="0"/>
        <condense val="0"/>
        <extend val="0"/>
        <outline val="0"/>
        <shadow val="0"/>
        <u val="none"/>
        <vertAlign val="baseline"/>
        <sz val="11"/>
        <color theme="1"/>
        <name val="Calibri"/>
        <family val="2"/>
        <scheme val="minor"/>
      </font>
      <numFmt numFmtId="13" formatCode="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5" formatCode="_(* #,##0.00_);_(* \(#,##0.00\);_(*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34" formatCode="_(&quot;$&quot;* #,##0.00_);_(&quot;$&quot;* \(#,##0.0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164" formatCode="_(&quot;$&quot;* #,##0_);_(&quot;$&quot;* \(#,##0\);_(&quot;$&quot;* &quot;-&quot;??_);_(@_)"/>
    </dxf>
    <dxf>
      <numFmt numFmtId="34" formatCode="_(&quot;$&quot;* #,##0.00_);_(&quot;$&quot;* \(#,##0.00\);_(&quot;$&quot;* &quot;-&quot;??_);_(@_)"/>
    </dxf>
    <dxf>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0" formatCode="General"/>
    </dxf>
    <dxf>
      <numFmt numFmtId="164" formatCode="_(&quot;$&quot;* #,##0_);_(&quot;$&quot;* \(#,##0\);_(&quot;$&quot;* &quot;-&quot;??_);_(@_)"/>
    </dxf>
    <dxf>
      <numFmt numFmtId="0" formatCode="General"/>
    </dxf>
    <dxf>
      <numFmt numFmtId="164" formatCode="_(&quot;$&quot;* #,##0_);_(&quot;$&quot;* \(#,##0\);_(&quot;$&quot;* &quot;-&quot;??_);_(@_)"/>
    </dxf>
    <dxf>
      <numFmt numFmtId="0" formatCode="General"/>
    </dxf>
    <dxf>
      <numFmt numFmtId="164" formatCode="_(&quot;$&quot;* #,##0_);_(&quot;$&quot;* \(#,##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34" formatCode="_(&quot;$&quot;* #,##0.00_);_(&quot;$&quot;* \(#,##0.0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numFmt numFmtId="167" formatCode="_(* #,##0_);_(* \(#,##0\);_(* &quot;-&quot;??_);_(@_)"/>
    </dxf>
    <dxf>
      <numFmt numFmtId="167" formatCode="_(* #,##0_);_(* \(#,##0\);_(* &quot;-&quot;??_);_(@_)"/>
    </dxf>
    <dxf>
      <numFmt numFmtId="164" formatCode="_(&quot;$&quot;* #,##0_);_(&quot;$&quot;* \(#,##0\);_(&quot;$&quot;* &quot;-&quot;??_);_(@_)"/>
    </dxf>
    <dxf>
      <font>
        <b/>
        <i val="0"/>
        <strike val="0"/>
        <condense val="0"/>
        <extend val="0"/>
        <outline val="0"/>
        <shadow val="0"/>
        <u val="none"/>
        <vertAlign val="baseline"/>
        <sz val="11"/>
        <color rgb="FF000000"/>
        <name val="Segoe UI"/>
        <family val="2"/>
        <scheme val="none"/>
      </font>
      <alignment horizontal="general" vertical="center" textRotation="0" wrapText="1" indent="0" justifyLastLine="0" shrinkToFit="0" readingOrder="0"/>
    </dxf>
    <dxf>
      <numFmt numFmtId="19" formatCode="m/d/yyyy"/>
      <alignment horizontal="general" vertical="top" textRotation="0" indent="0" justifyLastLine="0" shrinkToFit="0" readingOrder="0"/>
    </dxf>
    <dxf>
      <numFmt numFmtId="19" formatCode="m/d/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165" formatCode="0.000%"/>
    </dxf>
    <dxf>
      <numFmt numFmtId="165" formatCode="0.000%"/>
    </dxf>
    <dxf>
      <numFmt numFmtId="165" formatCode="0.000%"/>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4" formatCode="_(&quot;$&quot;* #,##0.00_);_(&quot;$&quot;* \(#,##0.0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4" formatCode="_(&quot;$&quot;* #,##0.00_);_(&quot;$&quot;* \(#,##0.0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4" formatCode="_(&quot;$&quot;* #,##0.00_);_(&quot;$&quot;* \(#,##0.0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numFmt numFmtId="167" formatCode="_(* #,##0_);_(* \(#,##0\);_(* &quot;-&quot;??_);_(@_)"/>
    </dxf>
    <dxf>
      <numFmt numFmtId="167" formatCode="_(* #,##0_);_(* \(#,##0\);_(* &quot;-&quot;??_);_(@_)"/>
    </dxf>
    <dxf>
      <numFmt numFmtId="167" formatCode="_(* #,##0_);_(* \(#,##0\);_(* &quot;-&quot;??_);_(@_)"/>
    </dxf>
    <dxf>
      <numFmt numFmtId="164" formatCode="_(&quot;$&quot;* #,##0_);_(&quot;$&quot;* \(#,##0\);_(&quot;$&quot;* &quot;-&quot;??_);_(@_)"/>
    </dxf>
    <dxf>
      <font>
        <b/>
        <i val="0"/>
        <strike val="0"/>
        <condense val="0"/>
        <extend val="0"/>
        <outline val="0"/>
        <shadow val="0"/>
        <u val="none"/>
        <vertAlign val="baseline"/>
        <sz val="11"/>
        <color rgb="FF000000"/>
        <name val="Segoe UI"/>
        <family val="2"/>
        <scheme val="none"/>
      </font>
      <alignment horizontal="general" vertical="center" textRotation="0" wrapText="1" indent="0" justifyLastLine="0" shrinkToFit="0" readingOrder="0"/>
    </dxf>
    <dxf>
      <numFmt numFmtId="19" formatCode="m/d/yyyy"/>
      <alignment horizontal="general" vertical="top" textRotation="0" indent="0" justifyLastLine="0" shrinkToFit="0" readingOrder="0"/>
    </dxf>
    <dxf>
      <numFmt numFmtId="19" formatCode="m/d/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165" formatCode="0.000%"/>
    </dxf>
    <dxf>
      <numFmt numFmtId="165" formatCode="0.000%"/>
    </dxf>
    <dxf>
      <font>
        <b val="0"/>
        <i val="0"/>
        <strike val="0"/>
        <condense val="0"/>
        <extend val="0"/>
        <outline val="0"/>
        <shadow val="0"/>
        <u val="none"/>
        <vertAlign val="baseline"/>
        <sz val="11"/>
        <color theme="1"/>
        <name val="Calibri"/>
        <family val="2"/>
        <scheme val="minor"/>
      </font>
    </dxf>
    <dxf>
      <numFmt numFmtId="165" formatCode="0.000%"/>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font>
        <b val="0"/>
        <i val="0"/>
        <strike val="0"/>
        <condense val="0"/>
        <extend val="0"/>
        <outline val="0"/>
        <shadow val="0"/>
        <u val="none"/>
        <vertAlign val="baseline"/>
        <sz val="11"/>
        <color theme="1"/>
        <name val="Calibri"/>
        <family val="2"/>
        <scheme val="minor"/>
      </font>
      <numFmt numFmtId="164" formatCode="_(&quot;$&quot;* #,##0_);_(&quot;$&quot;* \(#,##0\);_(&quot;$&quot;* &quot;-&quot;??_);_(@_)"/>
    </dxf>
    <dxf>
      <numFmt numFmtId="164" formatCode="_(&quot;$&quot;* #,##0_);_(&quot;$&quot;* \(#,##0\);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032F0E1-83D7-47EB-B639-F460CC98818C}" name="Revenue" displayName="Revenue" ref="A1:E4" totalsRowCount="1">
  <autoFilter ref="A1:E3" xr:uid="{C7FD2F18-EEF9-4353-ABBE-6E5A1266D035}"/>
  <tableColumns count="5">
    <tableColumn id="1" xr3:uid="{38095633-6EDC-4C18-824C-3D4C3D04249E}" name="Program"/>
    <tableColumn id="2" xr3:uid="{F268F90E-2AB2-4309-92D4-0E2A82C0564B}" name="Revenue" totalsRowFunction="custom" dataDxfId="237" totalsRowDxfId="236" dataCellStyle="Currency" totalsRowCellStyle="Currency">
      <totalsRowFormula>SUM(Revenue[Revenue])</totalsRowFormula>
    </tableColumn>
    <tableColumn id="4" xr3:uid="{234D2B9C-BDC5-4CD8-8DD8-DC9E83D069D0}" name="Dedicated" totalsRowFunction="custom" dataDxfId="235" totalsRowDxfId="234" dataCellStyle="Currency" totalsRowCellStyle="Currency">
      <calculatedColumnFormula>SUM(ConsultantYr2[FTA_Consultant Cost])</calculatedColumnFormula>
      <totalsRowFormula>SUM(Revenue[Dedicated])</totalsRowFormula>
    </tableColumn>
    <tableColumn id="3" xr3:uid="{E95DAC2E-C5D7-46C3-B803-F200AD0E54E3}" name="Remaining" totalsRowFunction="custom" dataDxfId="233" totalsRowDxfId="232" dataCellStyle="Percent" totalsRowCellStyle="Currency">
      <calculatedColumnFormula>Revenue[[#This Row],[Revenue]]-Revenue[[#This Row],[Dedicated]]</calculatedColumnFormula>
      <totalsRowFormula>SUM(Revenue[Remaining])</totalsRowFormula>
    </tableColumn>
    <tableColumn id="5" xr3:uid="{DBDFD770-576F-44AA-9CDF-F2F5B6C1B60E}" name="Program Split" totalsRowFunction="custom" dataDxfId="231" totalsRowDxfId="230" dataCellStyle="Percent" totalsRowCellStyle="Percent">
      <calculatedColumnFormula>Revenue[[#This Row],[Remaining]]/SUM(Revenue[Remaining])</calculatedColumnFormula>
      <totalsRowFormula>SUM(Revenue[Program Split])</totalsRow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CB0F50B-4434-4537-9E79-52566334FB41}" name="SplitYr1" displayName="SplitYr1" ref="G1:I2" totalsRowShown="0">
  <autoFilter ref="G1:I2" xr:uid="{184F36F1-C12C-4EBD-ADC5-69F95686ECF8}"/>
  <tableColumns count="3">
    <tableColumn id="1" xr3:uid="{CC2FA82E-C517-464A-9C55-6EE87D97595E}" name="Program"/>
    <tableColumn id="2" xr3:uid="{A7579E48-C841-4FFC-B7A0-01AC12F5D6F0}" name="FTA" dataDxfId="229">
      <calculatedColumnFormula>Revenue[[#This Row],[Program Split]]</calculatedColumnFormula>
    </tableColumn>
    <tableColumn id="3" xr3:uid="{48447E83-2C36-4175-AF5D-47DCB6B07930}" name="FHWA" dataDxfId="228">
      <calculatedColumnFormula>E3</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888580-D76F-44C3-8AAA-A5145D16FEE1}" name="ProjectsYR1" displayName="ProjectsYR1" ref="A1:H8" totalsRowShown="0" dataDxfId="227">
  <autoFilter ref="A1:H8" xr:uid="{4C2DB661-A051-4CFE-A65D-0C435ACE0724}"/>
  <tableColumns count="8">
    <tableColumn id="6" xr3:uid="{DD72336E-8156-4F26-A86A-DC32D3FC7367}" name="PIN" dataDxfId="226"/>
    <tableColumn id="1" xr3:uid="{75AC49D3-1D26-4BDA-9B3C-A9F4CBD416AA}" name="Project" dataDxfId="225"/>
    <tableColumn id="9" xr3:uid="{DF086F56-FB8B-4EAC-8F3C-4F09E936F310}" name="Project Description" dataDxfId="224"/>
    <tableColumn id="10" xr3:uid="{76FEB731-30D6-4AF0-BB49-7AAB8A1F2B69}" name="Planning Assumptions" dataDxfId="223"/>
    <tableColumn id="8" xr3:uid="{9C9316B5-5D3F-4965-B060-8208DFC12E15}" name="Tasks" dataDxfId="222"/>
    <tableColumn id="7" xr3:uid="{A2155318-E589-49AF-BCED-3718B274732F}" name="Deliverables" dataDxfId="221"/>
    <tableColumn id="4" xr3:uid="{BBAC1085-2189-4BE7-A028-0B0AE6CF2A50}" name="Start Date" dataDxfId="220"/>
    <tableColumn id="5" xr3:uid="{69142B7F-9884-4610-B7E6-D1E5878327C9}" name="End Date" dataDxfId="219">
      <calculatedColumnFormula>ProjectsYR1[[#This Row],[Start Date]]+365</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274FE3-B9C2-44B0-B752-F5D746AAFDFA}" name="StaffYR1" displayName="StaffYR1" ref="A1:D11" totalsRowShown="0">
  <autoFilter ref="A1:D11" xr:uid="{1955CCDC-C9A5-42F0-9A11-D6633E1F3B6D}"/>
  <tableColumns count="4">
    <tableColumn id="1" xr3:uid="{9C69E05C-6D12-4A58-B9E8-0EBB246BAC36}" name="Name" dataDxfId="218"/>
    <tableColumn id="3" xr3:uid="{5233BD37-9D85-4CF7-9AD2-1FA8D30CAEC1}" name="Title"/>
    <tableColumn id="4" xr3:uid="{DC2889B7-F502-4E71-BEBA-F0B58E0BEC1A}" name="Salary" dataDxfId="217" dataCellStyle="Currency"/>
    <tableColumn id="5" xr3:uid="{236473EA-BE0C-4F83-943B-04C8EF2D536B}" name="Agency"/>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068B6C-5A7A-452F-B7CE-295EEF8D5096}" name="StaffAllocYR1" displayName="StaffAllocYR1" ref="A1:E22" totalsRowCount="1">
  <autoFilter ref="A1:E21" xr:uid="{DB041576-8F72-4EEB-8B49-4BC1641084B3}"/>
  <tableColumns count="5">
    <tableColumn id="1" xr3:uid="{F0FA4693-CBFC-4AA6-837F-0E22F6AEB5DD}" name="Staff"/>
    <tableColumn id="5" xr3:uid="{90320B24-F93F-4DA8-AE8E-60725E853825}" name="Agency">
      <calculatedColumnFormula>INDEX(StaffYR1[],MATCH(StaffAllocYR1[[#This Row],[Staff]],StaffYR1[Name],0),4)</calculatedColumnFormula>
    </tableColumn>
    <tableColumn id="2" xr3:uid="{F411DE37-013C-4B33-9E0A-291767B84FCD}" name="Project"/>
    <tableColumn id="3" xr3:uid="{85EE606B-D9F2-4CAE-BE33-322413FB3258}" name="Days Assigned" totalsRowFunction="custom" dataDxfId="216" dataCellStyle="Comma">
      <totalsRowFormula>SUM(StaffAllocYR1[Days Assigned])</totalsRowFormula>
    </tableColumn>
    <tableColumn id="4" xr3:uid="{B470141B-260D-43AF-A20D-EB0C7611AE45}" name="Staff Cost" totalsRowFunction="custom" dataDxfId="215" dataCellStyle="Comma">
      <calculatedColumnFormula>INDEX(StaffYR1[],MATCH(StaffAllocYR1[[#This Row],[Staff]],StaffYR1[Name],0),3)*StaffAllocYR1[[#This Row],[Days Assigned]]</calculatedColumnFormula>
      <totalsRowFormula>SUM(StaffAllocYR1[Staff Cost])</totalsRowFormula>
    </tableColum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4EFDDE4-C58C-4355-998C-E6E738B5AEF5}" name="DirectExpensesYR1" displayName="DirectExpensesYR1" ref="A1:E23" totalsRowCount="1">
  <autoFilter ref="A1:E22" xr:uid="{08B7908B-11A8-4817-B29F-B41AE44BD1E5}"/>
  <tableColumns count="5">
    <tableColumn id="4" xr3:uid="{9836B41E-D036-47D8-A52C-DA2463E2D3D8}" name="Category"/>
    <tableColumn id="1" xr3:uid="{861E80E8-4032-404C-A484-6C783E4C2FF8}" name="Item"/>
    <tableColumn id="2" xr3:uid="{A9FAC48A-5498-4FCF-9956-FF78290B4B29}" name="Project"/>
    <tableColumn id="5" xr3:uid="{E96DFB58-4E21-4443-AC19-75E1424230DF}" name="Agency"/>
    <tableColumn id="3" xr3:uid="{45674F8D-6A72-4BED-B8CC-B8F907320508}" name="Cost" totalsRowFunction="custom" dataDxfId="214" dataCellStyle="Comma">
      <totalsRowFormula>SUM(DirectExpensesYR1[Cost])</totalsRowFormula>
    </tableColumn>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11CA668-0414-46F2-8384-E65DA0E08FF8}" name="SupportCostsYr1" displayName="SupportCostsYr1" ref="A1:E18" totalsRowCount="1">
  <autoFilter ref="A1:E17" xr:uid="{2A1F7C41-8DB2-43EA-9476-18D47CBA8906}"/>
  <sortState xmlns:xlrd2="http://schemas.microsoft.com/office/spreadsheetml/2017/richdata2" ref="A2:E17">
    <sortCondition ref="A1:A17"/>
  </sortState>
  <tableColumns count="5">
    <tableColumn id="1" xr3:uid="{45610C82-A6D0-4BB4-BE4A-C06F244D86EC}" name="Item"/>
    <tableColumn id="4" xr3:uid="{3008CFE7-1937-4C5B-8203-6335881A0EFF}" name="Category"/>
    <tableColumn id="2" xr3:uid="{C34D09B5-70EF-4B02-A3E9-279122BD9A55}" name="Project"/>
    <tableColumn id="5" xr3:uid="{41C50664-29E0-412B-B4EB-43979C86C5B4}" name="Agency"/>
    <tableColumn id="3" xr3:uid="{7770E42F-82E3-4A64-9089-363AAE6B88D6}" name="Cost" totalsRowFunction="custom" dataDxfId="213" totalsRowDxfId="212" dataCellStyle="Currency" totalsRowCellStyle="Currency">
      <totalsRowFormula>SUM(SupportCostsYr1[Cost])</totalsRow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F17907B-0690-4D5D-8624-D777686467C3}" name="ConsultantYr1" displayName="ConsultantYr1" ref="A1:J8" totalsRowCount="1">
  <autoFilter ref="A1:J7" xr:uid="{88C9FAD7-71C1-4966-B8BE-ECE1B0F26ABE}"/>
  <sortState xmlns:xlrd2="http://schemas.microsoft.com/office/spreadsheetml/2017/richdata2" ref="A2:F5">
    <sortCondition ref="B1:B6"/>
  </sortState>
  <tableColumns count="10">
    <tableColumn id="1" xr3:uid="{4ABC1D6E-3789-4DCC-B58D-9971D4AF99E5}" name="Item"/>
    <tableColumn id="2" xr3:uid="{C48AE311-2ECE-48C5-9ECC-B8DF3D737ADC}" name="Category"/>
    <tableColumn id="3" xr3:uid="{FA28C26C-3EE8-4E44-B9E9-F25FC3D9F342}" name="Project"/>
    <tableColumn id="4" xr3:uid="{EF9726F4-3379-4548-A98A-6AF394DD8252}" name="Agency"/>
    <tableColumn id="10" xr3:uid="{35EB42FA-A068-4BD7-9BE6-9D687C7C1F2B}" name="Funds Year"/>
    <tableColumn id="5" xr3:uid="{C6490839-7325-45E3-913C-BFBB6DBE4C7D}" name="Cost" totalsRowFunction="custom" dataDxfId="211" totalsRowDxfId="17" dataCellStyle="Currency">
      <totalsRowFormula>SUM(ConsultantYr1[Cost])</totalsRowFormula>
    </tableColumn>
    <tableColumn id="6" xr3:uid="{AE185475-47A3-4AC7-AB80-80EC75CCD358}" name="FHWA %" totalsRowDxfId="16" dataCellStyle="Percent"/>
    <tableColumn id="7" xr3:uid="{F0129331-854F-4D94-AFC6-E77194D264F8}" name="FTA %" totalsRowDxfId="15" dataCellStyle="Percent">
      <calculatedColumnFormula>1-ConsultantYr1[[#This Row],[FHWA %]]</calculatedColumnFormula>
    </tableColumn>
    <tableColumn id="8" xr3:uid="{82F5D5C6-D902-4287-B027-453829F0460C}" name="FHWA_Consultant Cost" totalsRowFunction="custom" dataDxfId="210" totalsRowDxfId="14">
      <calculatedColumnFormula>ConsultantYr1[[#This Row],[Cost]]*ConsultantYr1[[#This Row],[FHWA %]]</calculatedColumnFormula>
      <totalsRowFormula>SUM(ConsultantYr1[FHWA_Consultant Cost])</totalsRowFormula>
    </tableColumn>
    <tableColumn id="9" xr3:uid="{E0EB93FF-A36D-42E2-95FB-7EE965171441}" name="FTA_Consultant Cost" totalsRowFunction="custom" dataDxfId="209" totalsRowDxfId="13">
      <calculatedColumnFormula>ConsultantYr1[[#This Row],[Cost]]*ConsultantYr1[[#This Row],[FTA %]]</calculatedColumnFormula>
      <totalsRowFormula>SUM(ConsultantYr1[FTA_Consultant Cost])</totalsRowFormula>
    </tableColumn>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1D3E81-8281-4662-9F68-1CD34B70B4A3}" name="Budget" displayName="Budget" ref="A1:K23" totalsRowCount="1">
  <autoFilter ref="A1:K22" xr:uid="{EB08FAFC-F9BA-4613-A8D9-0B03FDC5B954}"/>
  <tableColumns count="11">
    <tableColumn id="1" xr3:uid="{843BBA5B-E1A8-4837-9855-353A5E7E4D72}" name="PIN"/>
    <tableColumn id="2" xr3:uid="{B05C83D9-6C6C-4616-912F-BBC5B1C9CF6E}" name="Agency"/>
    <tableColumn id="3" xr3:uid="{0847FD62-1F85-49E3-BA94-A72A470F24DE}" name="Project"/>
    <tableColumn id="4" xr3:uid="{FF83D34A-8DAB-4BDB-8A80-08F76499EC90}" name="Staff Cost" totalsRowFunction="custom" dataDxfId="208" totalsRowDxfId="207" dataCellStyle="Currency" totalsRowCellStyle="Currency">
      <calculatedColumnFormula>SUMIFS(StaffAllocYR1[Staff Cost],StaffAllocYR1[Project],Budget[[#This Row],[PIN]],StaffAllocYR1[Agency],Budget[[#This Row],[Agency]])</calculatedColumnFormula>
      <totalsRowFormula>SUM(Budget[Staff Cost])</totalsRowFormula>
    </tableColumn>
    <tableColumn id="5" xr3:uid="{D92969BC-D3F3-4C16-AF53-772181A7CDC8}" name="Direct Expenses" totalsRowFunction="custom" dataDxfId="206" totalsRowDxfId="205" dataCellStyle="Currency" totalsRowCellStyle="Currency">
      <calculatedColumnFormula>SUMIFS(DirectExpensesYR1[Cost],DirectExpensesYR1[Project],Budget[[#This Row],[PIN]],DirectExpensesYR1[Agency],Budget[[#This Row],[Agency]])</calculatedColumnFormula>
      <totalsRowFormula>SUM(Budget[Direct Expenses])</totalsRowFormula>
    </tableColumn>
    <tableColumn id="6" xr3:uid="{B3CF3097-EC2D-4263-94C7-91342428B8A8}" name="Support Costs" totalsRowFunction="custom" dataDxfId="204" totalsRowDxfId="203" dataCellStyle="Currency" totalsRowCellStyle="Currency">
      <calculatedColumnFormula>SUMIFS(SupportCostsYr1[Cost],SupportCostsYr1[Project],Budget[[#This Row],[PIN]],SupportCostsYr1[Agency],Budget[[#This Row],[Agency]])</calculatedColumnFormula>
      <totalsRowFormula>SUM(Budget[Support Costs])</totalsRowFormula>
    </tableColumn>
    <tableColumn id="7" xr3:uid="{5B954DD2-40CA-47FA-801F-43509632A2E3}" name="Consultant Cost" totalsRowFunction="custom" dataDxfId="202" totalsRowDxfId="201" dataCellStyle="Currency" totalsRowCellStyle="Currency">
      <calculatedColumnFormula>SUMIFS(ConsultantYr1[Cost],ConsultantYr1[Project],Budget[[#This Row],[PIN]],ConsultantYr1[Agency],Budget[[#This Row],[Agency]])</calculatedColumnFormula>
      <totalsRowFormula>SUM(Budget[Consultant Cost])</totalsRowFormula>
    </tableColumn>
    <tableColumn id="10" xr3:uid="{62E1585B-CBA9-4078-A517-83AED456B1EB}" name="FHWA Consultant Cost" totalsRowFunction="custom" dataDxfId="200" totalsRowDxfId="199" dataCellStyle="Currency" totalsRowCellStyle="Currency">
      <calculatedColumnFormula>SUMIFS(ConsultantYr1[FHWA_Consultant Cost],ConsultantYr1[Project],Budget[[#This Row],[PIN]],ConsultantYr1[Agency],Budget[[#This Row],[Agency]])</calculatedColumnFormula>
      <totalsRowFormula>SUM(Budget[FHWA Consultant Cost])</totalsRowFormula>
    </tableColumn>
    <tableColumn id="11" xr3:uid="{84F99001-5611-4FBE-B596-4FF4841DE497}" name="FTA Consultant Costs" totalsRowFunction="custom" dataDxfId="198" totalsRowDxfId="197" dataCellStyle="Currency" totalsRowCellStyle="Currency">
      <calculatedColumnFormula>SUMIFS(ConsultantYr1[FTA_Consultant Cost],ConsultantYr1[Project],Budget[[#This Row],[PIN]],ConsultantYr1[Agency],Budget[[#This Row],[Agency]])</calculatedColumnFormula>
      <totalsRowFormula>SUM(Budget[FTA Consultant Costs])</totalsRowFormula>
    </tableColumn>
    <tableColumn id="12" xr3:uid="{5C3F8F11-1278-4BF1-8790-FAAC81568C22}" name="FHWA_Staff_Other" totalsRowFunction="custom" totalsRowDxfId="196" dataCellStyle="Currency" totalsRowCellStyle="Currency">
      <calculatedColumnFormula array="1">SplitYr1[[FHWA]:[FHWA]]*SUM(Budget[[#This Row],[Staff Cost]:[Support Costs]])</calculatedColumnFormula>
      <totalsRowFormula>SUM(Budget[FHWA_Staff_Other])</totalsRowFormula>
    </tableColumn>
    <tableColumn id="13" xr3:uid="{611D3760-4C77-496A-A363-95248BF90909}" name="FTA_Staff_Other" totalsRowFunction="custom" dataDxfId="195" totalsRowDxfId="194" dataCellStyle="Currency" totalsRowCellStyle="Currency">
      <calculatedColumnFormula array="1">SplitYr1[[FTA]:[FTA]]*SUM(Budget[[#This Row],[Staff Cost]:[Support Costs]])</calculatedColumnFormula>
      <totalsRowFormula>SUM(Budget[FTA_Staff_Other])</totalsRow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BD8373E-1701-48FB-B927-48BD801FE78A}" name="ConsultantCharges" displayName="ConsultantCharges" ref="A1:J8" totalsRowCount="1">
  <autoFilter ref="A1:J7" xr:uid="{F8D0AA5A-C39E-4C01-9AC1-0350F65AB992}"/>
  <sortState xmlns:xlrd2="http://schemas.microsoft.com/office/spreadsheetml/2017/richdata2" ref="A2:E5">
    <sortCondition ref="B1:B6"/>
  </sortState>
  <tableColumns count="10">
    <tableColumn id="1" xr3:uid="{936EE849-F2B7-4140-8FC9-B194B289E9A3}" name="Item"/>
    <tableColumn id="2" xr3:uid="{CDA6B024-9AD3-4C50-AF9B-671AE9678D20}" name="Category"/>
    <tableColumn id="3" xr3:uid="{115F132D-4436-4EF7-9130-E05B2A9FDD12}" name="Project"/>
    <tableColumn id="4" xr3:uid="{1E9AF9E4-072E-4931-9437-3880482FEFD8}" name="Agency"/>
    <tableColumn id="5" xr3:uid="{30B908F6-75D3-47C2-9D3F-7E4FA83A56EE}" name="Cost" totalsRowFunction="custom" dataDxfId="193" totalsRowDxfId="192" dataCellStyle="Currency">
      <calculatedColumnFormula>ConsultantYr1[[#This Row],[Cost]]*ConsultantCharges[[#This Row],[% Completed]]</calculatedColumnFormula>
      <totalsRowFormula>SUM(ConsultantCharges[Cost])</totalsRowFormula>
    </tableColumn>
    <tableColumn id="10" xr3:uid="{EBA24D37-0B6D-4957-A33A-F2F79E32B6B0}" name="% Completed" dataDxfId="191" totalsRowDxfId="190" dataCellStyle="Percent"/>
    <tableColumn id="6" xr3:uid="{3E876EF3-2077-4822-8BC5-DB5B8A4A938A}" name="FHWA %" totalsRowDxfId="189" dataCellStyle="Percent"/>
    <tableColumn id="7" xr3:uid="{BD87FA0F-D5F0-4665-97F0-4B3A860DD80E}" name="FTA %" totalsRowDxfId="188" dataCellStyle="Percent">
      <calculatedColumnFormula>1-ConsultantCharges[[#This Row],[FHWA %]]</calculatedColumnFormula>
    </tableColumn>
    <tableColumn id="8" xr3:uid="{E6CB68AE-7C26-41B4-B1FF-61BAB627A190}" name="FHWA_Consultant Cost" totalsRowFunction="custom" dataDxfId="187" totalsRowDxfId="186">
      <calculatedColumnFormula>(ConsultantCharges[[#This Row],[Cost]])*ConsultantCharges[[#This Row],[FHWA %]]</calculatedColumnFormula>
      <totalsRowFormula>SUM(ConsultantCharges[FHWA_Consultant Cost])</totalsRowFormula>
    </tableColumn>
    <tableColumn id="9" xr3:uid="{E8FBBA39-7DE6-4F20-B92B-FCC05D7216A0}" name="FTA_Consultant Cost" totalsRowFunction="custom" dataDxfId="185" totalsRowDxfId="184">
      <calculatedColumnFormula>(ConsultantCharges[[#This Row],[Cost]])*ConsultantCharges[[#This Row],[FTA %]]</calculatedColumnFormula>
      <totalsRowFormula>SUM(ConsultantCharges[FTA_Consultant Cost])</totalsRowFormula>
    </tableColumn>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33F7A94-8BD6-4609-86F5-96374296FCB6}" name="Budget13" displayName="Budget13" ref="A1:J23" totalsRowCount="1">
  <autoFilter ref="A1:J22" xr:uid="{F38F256D-6BBD-4E08-951B-B22357CEA9E3}"/>
  <tableColumns count="10">
    <tableColumn id="1" xr3:uid="{33E10063-C8F1-4492-BE90-A959AF40CBE6}" name="PIN"/>
    <tableColumn id="2" xr3:uid="{B66DCB01-C663-4FAB-B13B-CEE576D7561A}" name="Agency"/>
    <tableColumn id="3" xr3:uid="{3ABB6C4A-4012-42F1-94D3-BF26BD1912BA}" name="Project"/>
    <tableColumn id="4" xr3:uid="{53CC5835-BDE3-410A-BBD1-2D5DEDDD4906}" name="Staff Cost" totalsRowFunction="custom" dataDxfId="183" totalsRowDxfId="182" dataCellStyle="Currency" totalsRowCellStyle="Currency">
      <totalsRowFormula>SUM(Budget13[Staff Cost])</totalsRowFormula>
    </tableColumn>
    <tableColumn id="5" xr3:uid="{E8159D92-1511-4F5B-A574-CF8D7151E9F6}" name="Direct Expenses" totalsRowFunction="custom" dataDxfId="181" totalsRowDxfId="180" dataCellStyle="Currency" totalsRowCellStyle="Currency">
      <totalsRowFormula>SUM(Budget13[Direct Expenses])</totalsRowFormula>
    </tableColumn>
    <tableColumn id="6" xr3:uid="{4510E994-2E0D-46FB-953B-D523352FE6B2}" name="Support Costs" totalsRowFunction="custom" dataDxfId="179" totalsRowDxfId="178" dataCellStyle="Currency" totalsRowCellStyle="Currency">
      <totalsRowFormula>SUM(Budget13[Support Costs])</totalsRowFormula>
    </tableColumn>
    <tableColumn id="10" xr3:uid="{93F1FF11-EE73-47EB-8688-19D956A0A5ED}" name="FHWA Consultant Cost" totalsRowFunction="custom" dataDxfId="177" totalsRowDxfId="176" dataCellStyle="Currency" totalsRowCellStyle="Currency">
      <calculatedColumnFormula>SUMIFS(ConsultantCharges[FHWA_Consultant Cost],ConsultantCharges[Project],Budget13[[#This Row],[PIN]],ConsultantCharges[Agency],Budget13[[#This Row],[Agency]])</calculatedColumnFormula>
      <totalsRowFormula>SUM(Budget13[FHWA Consultant Cost])</totalsRowFormula>
    </tableColumn>
    <tableColumn id="11" xr3:uid="{43C6EA3E-64DA-4CAD-A40F-E1633281431F}" name="FTA Consultant Costs" totalsRowFunction="custom" dataDxfId="175" totalsRowDxfId="174" dataCellStyle="Currency" totalsRowCellStyle="Currency">
      <calculatedColumnFormula>SUMIFS(ConsultantCharges[FTA_Consultant Cost],ConsultantCharges[Project],Budget13[[#This Row],[PIN]],ConsultantCharges[Agency],Budget13[[#This Row],[Agency]])</calculatedColumnFormula>
      <totalsRowFormula>SUM(Budget13[FTA Consultant Costs])</totalsRowFormula>
    </tableColumn>
    <tableColumn id="12" xr3:uid="{1A98F1F8-52F9-41A9-B72E-4154B7C124B6}" name="FHWA_Staff_Other" totalsRowFunction="custom" totalsRowDxfId="173" dataCellStyle="Currency" totalsRowCellStyle="Currency">
      <calculatedColumnFormula array="1">SplitYr1[[FHWA]:[FHWA]]*SUM(Budget13[[#This Row],[Staff Cost]:[Support Costs]])</calculatedColumnFormula>
      <totalsRowFormula>SUM(Budget13[FHWA_Staff_Other])</totalsRowFormula>
    </tableColumn>
    <tableColumn id="13" xr3:uid="{54AF4C99-EC40-47A8-820E-B106A8AC5B97}" name="FTA_Staff_Other" totalsRowFunction="custom" dataDxfId="172" totalsRowDxfId="171" dataCellStyle="Currency" totalsRowCellStyle="Currency">
      <calculatedColumnFormula array="1">SplitYr1[[FTA]:[FTA]]*SUM(Budget13[[#This Row],[Staff Cost]:[Support Costs]])</calculatedColumnFormula>
      <totalsRowFormula>SUM(Budget13[FTA_Staff_Other])</totalsRowFormula>
    </tableColumn>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2DD354D-D613-4A4B-B4D3-E4473D8C255E}" name="Projects31" displayName="Projects31" ref="A1:D8" totalsRowShown="0" dataDxfId="170">
  <autoFilter ref="A1:D8" xr:uid="{35BFBFFC-9E49-4D6C-9F3E-CE83D656653D}"/>
  <tableColumns count="4">
    <tableColumn id="6" xr3:uid="{7396EB0C-A97E-42DD-B414-68166371EBBE}" name="PIN" dataDxfId="169"/>
    <tableColumn id="1" xr3:uid="{080FBADC-A1C4-4072-A3F1-8D6DA64289D5}" name="Project" dataDxfId="168"/>
    <tableColumn id="8" xr3:uid="{BF9FDDA0-1AEF-4645-A941-20E6E27C4E78}" name="Progress Report" dataDxfId="167"/>
    <tableColumn id="2" xr3:uid="{123ACC41-F05B-4872-8FA8-978375E439AC}" name="Project Status" dataDxfId="166"/>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A13FEAF-9D00-4133-BBDE-CCEE565A2093}" name="RemainingBalance" displayName="RemainingBalance" ref="A1:J23" totalsRowCount="1">
  <autoFilter ref="A1:J22" xr:uid="{A57518B9-3351-4C80-93B6-39DE7F45CF1B}"/>
  <tableColumns count="10">
    <tableColumn id="1" xr3:uid="{4005FE5D-1C23-4048-8976-B5A588B9FC93}" name="PIN"/>
    <tableColumn id="2" xr3:uid="{DA67D131-52E4-4F45-A7AA-A42294512ABD}" name="Agency"/>
    <tableColumn id="3" xr3:uid="{9DD830B7-1A83-494F-8248-BBD5BE6A6A4B}" name="Project"/>
    <tableColumn id="4" xr3:uid="{D1957B6B-532D-4FFF-A2C3-F5EBCAC2DFB7}" name="Staff Cost" totalsRowFunction="custom" dataDxfId="165" totalsRowDxfId="164" dataCellStyle="Currency" totalsRowCellStyle="Currency">
      <calculatedColumnFormula>Budget[[#This Row],[Staff Cost]]-Budget13[[#This Row],[Staff Cost]]</calculatedColumnFormula>
      <totalsRowFormula>SUM(RemainingBalance[Staff Cost])</totalsRowFormula>
    </tableColumn>
    <tableColumn id="5" xr3:uid="{5E6EEAE5-15A4-4EDE-900A-9B2B1D2BBF07}" name="Direct Expenses" totalsRowFunction="custom" dataDxfId="163" totalsRowDxfId="162" dataCellStyle="Currency" totalsRowCellStyle="Currency">
      <calculatedColumnFormula>Budget[[#This Row],[Direct Expenses]]-Budget13[[#This Row],[Direct Expenses]]</calculatedColumnFormula>
      <totalsRowFormula>SUM(RemainingBalance[Direct Expenses])</totalsRowFormula>
    </tableColumn>
    <tableColumn id="6" xr3:uid="{F43691A8-D418-48C3-8CEC-A24217F8EB38}" name="Support Costs" totalsRowFunction="custom" dataDxfId="161" totalsRowDxfId="160" dataCellStyle="Currency" totalsRowCellStyle="Currency">
      <calculatedColumnFormula>Budget[[#This Row],[Support Costs]]-Budget13[[#This Row],[Support Costs]]</calculatedColumnFormula>
      <totalsRowFormula>SUM(RemainingBalance[Support Costs])</totalsRowFormula>
    </tableColumn>
    <tableColumn id="10" xr3:uid="{B08112DA-ACE6-4791-978B-FFC7443A32E9}" name="FHWA Consultant Cost" totalsRowFunction="custom" dataDxfId="159" totalsRowDxfId="158" dataCellStyle="Currency" totalsRowCellStyle="Currency">
      <calculatedColumnFormula>Budget[[#This Row],[FHWA Consultant Cost]]-Budget13[[#This Row],[FHWA Consultant Cost]]</calculatedColumnFormula>
      <totalsRowFormula>SUM(RemainingBalance[FHWA Consultant Cost])</totalsRowFormula>
    </tableColumn>
    <tableColumn id="11" xr3:uid="{1E9AFD1A-A952-4C5A-8053-863D682F24FA}" name="FTA Consultant Costs" totalsRowFunction="custom" dataDxfId="157" totalsRowDxfId="156" dataCellStyle="Currency" totalsRowCellStyle="Currency">
      <calculatedColumnFormula>Budget[[#This Row],[FTA Consultant Costs]]-Budget13[[#This Row],[FTA Consultant Costs]]</calculatedColumnFormula>
      <totalsRowFormula>SUM(RemainingBalance[FTA Consultant Costs])</totalsRowFormula>
    </tableColumn>
    <tableColumn id="12" xr3:uid="{C845696D-8C14-4DF1-9184-EB6663865AB4}" name="FHWA_Staff_Other" totalsRowFunction="custom" totalsRowDxfId="155" dataCellStyle="Currency" totalsRowCellStyle="Currency">
      <calculatedColumnFormula>Budget[[#This Row],[FHWA_Staff_Other]]-Budget13[[#This Row],[FHWA_Staff_Other]]</calculatedColumnFormula>
      <totalsRowFormula>SUM(RemainingBalance[FHWA_Staff_Other])</totalsRowFormula>
    </tableColumn>
    <tableColumn id="13" xr3:uid="{397F2A99-D4C2-40F7-957C-207EE4604B3A}" name="FTA_Staff_Other" totalsRowFunction="custom" dataDxfId="154" totalsRowDxfId="153" dataCellStyle="Currency" totalsRowCellStyle="Currency">
      <calculatedColumnFormula>Budget[[#This Row],[FTA_Staff_Other]]-Budget13[[#This Row],[FTA_Staff_Other]]</calculatedColumnFormula>
      <totalsRowFormula>SUM(RemainingBalance[FTA_Staff_Other])</totalsRowFormula>
    </tableColumn>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6D0A9D7-B014-4222-B7D9-BB5968AF7348}" name="Table13" displayName="Table13" ref="A1:E5" totalsRowCount="1">
  <autoFilter ref="A1:E4" xr:uid="{90F53709-F656-45FE-A67B-F415F0FA0541}"/>
  <tableColumns count="5">
    <tableColumn id="1" xr3:uid="{0E9FDBB5-C47B-408F-8562-338D4408058F}" name="Agency"/>
    <tableColumn id="2" xr3:uid="{97053AA9-99C2-40E6-91EF-8366B14FDAD3}" name="FHWA_Staff_Other" totalsRowFunction="custom" totalsRowDxfId="152" dataCellStyle="Currency" totalsRowCellStyle="Currency">
      <calculatedColumnFormula>SUMIFS(RemainingBalance[FHWA_Staff_Other],RemainingBalance[Agency],Table13[[#This Row],[Agency]])</calculatedColumnFormula>
      <totalsRowFormula>SUM(Table13[FHWA_Staff_Other])</totalsRowFormula>
    </tableColumn>
    <tableColumn id="3" xr3:uid="{B05C8AE7-7CC8-4924-8BCD-EE979C30137E}" name="FTA_Staff_Other" totalsRowFunction="custom" dataDxfId="151" totalsRowDxfId="150" dataCellStyle="Currency" totalsRowCellStyle="Currency">
      <calculatedColumnFormula>SUMIFS(RemainingBalance[FTA_Staff_Other],RemainingBalance[Agency],Table13[[#This Row],[Agency]])</calculatedColumnFormula>
      <totalsRowFormula>SUM(Table13[FTA_Staff_Other])</totalsRowFormula>
    </tableColumn>
    <tableColumn id="4" xr3:uid="{1CEE3E22-D92D-445E-A9BF-7B991E067C9F}" name="FHWA_Consultant" totalsRowFunction="custom" dataDxfId="149" totalsRowDxfId="148" dataCellStyle="Currency" totalsRowCellStyle="Currency">
      <calculatedColumnFormula>SUMIFS(RemainingBalance[FHWA Consultant Cost],RemainingBalance[Agency],Table13[[#This Row],[Agency]])</calculatedColumnFormula>
      <totalsRowFormula>SUM(Table13[FHWA_Consultant])</totalsRowFormula>
    </tableColumn>
    <tableColumn id="5" xr3:uid="{034A830A-80BB-4885-9305-9E3D28F7F572}" name="FTA_Consultant" totalsRowFunction="custom" dataDxfId="147" totalsRowDxfId="146" dataCellStyle="Currency" totalsRowCellStyle="Currency">
      <calculatedColumnFormula>SUMIFS(RemainingBalance[FTA Consultant Costs],RemainingBalance[Agency],Table13[[#This Row],[Agency]])</calculatedColumnFormula>
      <totalsRowFormula>SUM(Table13[FTA_Consultant])</totalsRowFormula>
    </tableColumn>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C2BBB8B-175E-4ABC-A6AA-A639B3325B61}" name="ConsultantCharges24" displayName="ConsultantCharges24" ref="A1:J8" totalsRowCount="1">
  <autoFilter ref="A1:J7" xr:uid="{16F90933-83E1-430C-AEE8-3B724AC18AA9}"/>
  <sortState xmlns:xlrd2="http://schemas.microsoft.com/office/spreadsheetml/2017/richdata2" ref="A2:E5">
    <sortCondition ref="B1:B6"/>
  </sortState>
  <tableColumns count="10">
    <tableColumn id="1" xr3:uid="{0F5F95A5-09F1-4860-92A0-2442B11794C5}" name="Item"/>
    <tableColumn id="2" xr3:uid="{708AB549-9755-41BC-B346-35B91C2F7EC6}" name="Category"/>
    <tableColumn id="3" xr3:uid="{7749AEFB-5FE0-4E5B-9AE1-E924074BBDA0}" name="Project"/>
    <tableColumn id="4" xr3:uid="{F10D50BE-D3F5-428F-AA17-0A4A56EEEFCE}" name="Agency"/>
    <tableColumn id="5" xr3:uid="{9031ECBF-CEA7-4603-88EC-1BCD5BE1B3A8}" name="Cost" totalsRowFunction="custom" dataDxfId="145" totalsRowDxfId="144" dataCellStyle="Currency">
      <calculatedColumnFormula>ConsultantYr1[[#This Row],[Cost]]-ConsultantCharges[[#This Row],[Cost]]</calculatedColumnFormula>
      <totalsRowFormula>SUM(ConsultantCharges24[Cost])</totalsRowFormula>
    </tableColumn>
    <tableColumn id="10" xr3:uid="{4D7C6229-F1CC-457D-9B88-42B092515C60}" name="% Completed" dataDxfId="143" totalsRowDxfId="142" dataCellStyle="Percent"/>
    <tableColumn id="6" xr3:uid="{5AC4CF97-F5B7-46A1-92D6-9E944A6CC75E}" name="FHWA %" totalsRowDxfId="141" dataCellStyle="Percent"/>
    <tableColumn id="7" xr3:uid="{0ADE0759-622A-46AF-857C-23E908BCC7BF}" name="FTA %" totalsRowDxfId="140" dataCellStyle="Percent">
      <calculatedColumnFormula>1-ConsultantCharges24[[#This Row],[FHWA %]]</calculatedColumnFormula>
    </tableColumn>
    <tableColumn id="8" xr3:uid="{BD9D8647-4F6B-47B0-8990-D1B077D55821}" name="FHWA_Consultant Cost" totalsRowFunction="custom" dataDxfId="139" totalsRowDxfId="138">
      <calculatedColumnFormula>ConsultantYr1[[#This Row],[FHWA_Consultant Cost]]-ConsultantCharges[[#This Row],[FHWA_Consultant Cost]]</calculatedColumnFormula>
      <totalsRowFormula>SUM(ConsultantCharges24[FHWA_Consultant Cost])</totalsRowFormula>
    </tableColumn>
    <tableColumn id="9" xr3:uid="{C9A33CA3-D2D0-4A43-AE3A-E75C12C70A38}" name="FTA_Consultant Cost" totalsRowFunction="custom" dataDxfId="137" totalsRowDxfId="136">
      <calculatedColumnFormula>ConsultantYr1[[#This Row],[FTA_Consultant Cost]]-ConsultantCharges[[#This Row],[FTA_Consultant Cost]]</calculatedColumnFormula>
      <totalsRowFormula>SUM(ConsultantCharges24[FTA_Consultant Cost])</totalsRowFormula>
    </tableColumn>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C9D7DF5-0E9E-40B7-953A-9D2E951AED2A}" name="RevenueYR2" displayName="RevenueYR2" ref="A1:E3" totalsRowShown="0">
  <autoFilter ref="A1:E3" xr:uid="{28BDAA28-0B0E-418A-AFE5-AB6292EB1985}"/>
  <tableColumns count="5">
    <tableColumn id="1" xr3:uid="{BEFEB6DA-7F23-4E49-8133-F0C1F51EFF35}" name="Program"/>
    <tableColumn id="2" xr3:uid="{84F57B67-0747-4FB9-8F6D-EB2C15FCFF25}" name="Revenue" dataDxfId="135" dataCellStyle="Currency"/>
    <tableColumn id="4" xr3:uid="{4D46B288-E773-42D2-904E-56C143DB10E1}" name="Dedicated" dataDxfId="134" dataCellStyle="Currency">
      <calculatedColumnFormula>SUMIFS(ConsultantYr2[FHWA_Consultant Cost],ConsultantYr2[Funds Year],2022)</calculatedColumnFormula>
    </tableColumn>
    <tableColumn id="3" xr3:uid="{1DB0AFF9-9A10-45BA-814C-A49D64741F48}" name="Remaining" dataDxfId="133" dataCellStyle="Percent">
      <calculatedColumnFormula>RevenueYR2[[#This Row],[Revenue]]-RevenueYR2[[#This Row],[Dedicated]]</calculatedColumnFormula>
    </tableColumn>
    <tableColumn id="5" xr3:uid="{09414A46-B92F-4546-A9E5-139D50CED423}" name="Program Split" dataDxfId="132" dataCellStyle="Percent">
      <calculatedColumnFormula>RevenueYR2[[#This Row],[Remaining]]/SUM(RevenueYR2[Remaining])</calculatedColumnFormula>
    </tableColumn>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7782A6A-B749-4617-97DC-519BD9102C60}" name="SplitYr2" displayName="SplitYr2" ref="G1:I2" totalsRowShown="0">
  <autoFilter ref="G1:I2" xr:uid="{4A26F90A-D7A9-4E7F-AC49-9204861E71B5}"/>
  <tableColumns count="3">
    <tableColumn id="1" xr3:uid="{D52EE005-92DB-45E7-B689-518C7FB4E0B4}" name="Program"/>
    <tableColumn id="2" xr3:uid="{1BB2EC2C-9C30-4016-B65B-C4B737BD7735}" name="FTA" dataDxfId="131">
      <calculatedColumnFormula>E3</calculatedColumnFormula>
    </tableColumn>
    <tableColumn id="3" xr3:uid="{B7648E89-5C0D-4834-8523-99BF49503270}" name="FHWA" dataDxfId="130">
      <calculatedColumnFormula>RevenueYR2[[#This Row],[Program Split]]</calculatedColumnFormula>
    </tableColumn>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6F4C527-D939-42F7-A191-624430C14B19}" name="Projects17" displayName="Projects17" ref="A1:H10" totalsRowShown="0" dataDxfId="129">
  <autoFilter ref="A1:H10" xr:uid="{0C23672C-1A0E-4144-BF12-4F7156A96EC9}"/>
  <tableColumns count="8">
    <tableColumn id="6" xr3:uid="{841D75C2-E44B-4824-9079-8E49DB3DA498}" name="PIN" dataDxfId="128"/>
    <tableColumn id="1" xr3:uid="{7456FFBE-F584-4127-8B36-21042629058F}" name="Project" dataDxfId="127"/>
    <tableColumn id="9" xr3:uid="{55C2966A-9EB5-472C-BDF6-7C9FFCEDA7DA}" name="Project Description" dataDxfId="126"/>
    <tableColumn id="10" xr3:uid="{20B31559-D5B4-4A97-9BD5-CB240ECE61F2}" name="Planning Assumptions" dataDxfId="125"/>
    <tableColumn id="8" xr3:uid="{3E7A9AF0-F542-43DF-B333-5D3579A86EBD}" name="Tasks" dataDxfId="124"/>
    <tableColumn id="7" xr3:uid="{534505FD-BDC3-40BF-963D-20DB76BA59E5}" name="Deliverables" dataDxfId="123"/>
    <tableColumn id="4" xr3:uid="{F20F5B76-646D-4C01-BFF3-140612173062}" name="Start Date" dataDxfId="122"/>
    <tableColumn id="5" xr3:uid="{E766870D-EEBD-4678-8009-11BEF67B7E73}" name="End Date" dataDxfId="121">
      <calculatedColumnFormula>Projects17[[#This Row],[Start Date]]+365</calculatedColumnFormula>
    </tableColumn>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D0F239F-3940-48C8-8484-BF005574DFD9}" name="Staff18" displayName="Staff18" ref="A1:D15" totalsRowShown="0">
  <autoFilter ref="A1:D15" xr:uid="{64210144-8305-42FA-A088-CBBFE775CF45}"/>
  <tableColumns count="4">
    <tableColumn id="1" xr3:uid="{3D01BD8A-F769-4ADF-B9DF-AF27BC1233DE}" name="Name" dataDxfId="120"/>
    <tableColumn id="3" xr3:uid="{8FEA715E-E865-4097-A4B1-E3A6C396D026}" name="Title"/>
    <tableColumn id="4" xr3:uid="{61DFD019-CF97-4614-9B97-6D59AF43CCD8}" name="Salary" dataDxfId="119" dataCellStyle="Currency"/>
    <tableColumn id="5" xr3:uid="{A7087578-0A66-44C5-A879-7D47E1AA86DF}" name="Agency"/>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97D9478-4FCA-4BE0-B423-F3DE945F39E4}" name="StaffAllocYR2" displayName="StaffAllocYR2" ref="A1:E22" totalsRowCount="1">
  <autoFilter ref="A1:E21" xr:uid="{DB041576-8F72-4EEB-8B49-4BC1641084B3}"/>
  <sortState xmlns:xlrd2="http://schemas.microsoft.com/office/spreadsheetml/2017/richdata2" ref="A2:E21">
    <sortCondition ref="C1:C21"/>
  </sortState>
  <tableColumns count="5">
    <tableColumn id="1" xr3:uid="{E576C103-FD91-48BB-945B-5D1AEDEC67F0}" name="Staff"/>
    <tableColumn id="5" xr3:uid="{2B7F0C16-9FFC-4CF1-B04A-67C795006B09}" name="Agency">
      <calculatedColumnFormula>INDEX(StaffYR1[],MATCH(StaffAllocYR2[[#This Row],[Staff]],StaffYR1[Name],0),4)</calculatedColumnFormula>
    </tableColumn>
    <tableColumn id="2" xr3:uid="{698DD64E-8887-4F76-807A-89C68A249639}" name="Project"/>
    <tableColumn id="3" xr3:uid="{BD3B0025-D2B8-477E-9356-4BA57E4E868C}" name="Days Assigned" totalsRowFunction="custom" totalsRowDxfId="118" totalsRowCellStyle="Comma">
      <totalsRowFormula>SUM(StaffAllocYR2[Days Assigned])</totalsRowFormula>
    </tableColumn>
    <tableColumn id="4" xr3:uid="{494E26C1-E025-4DC2-8F50-FE6612F954F4}" name="Staff Cost" totalsRowFunction="custom" totalsRowDxfId="117" totalsRowCellStyle="Comma">
      <calculatedColumnFormula>INDEX(StaffYR1[],MATCH(StaffAllocYR2[[#This Row],[Staff]],StaffYR1[Name],0),3)*StaffAllocYR2[[#This Row],[Days Assigned]]</calculatedColumnFormula>
      <totalsRowFormula>SUM(StaffAllocYR2[Staff Cost])</totalsRowFormula>
    </tableColumn>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026FAA3-D0E8-464E-AEEB-354EDC56AC01}" name="DirectExpensesYr2" displayName="DirectExpensesYr2" ref="A1:E23" totalsRowCount="1">
  <autoFilter ref="A1:E22" xr:uid="{0CB3AB9C-68A6-4867-86FD-9AD0D5EC5F19}"/>
  <tableColumns count="5">
    <tableColumn id="4" xr3:uid="{A0A9232F-1DF0-4B75-A459-055079AB80F5}" name="Category"/>
    <tableColumn id="1" xr3:uid="{91842566-BF74-4D9A-BA9D-71D2AA741527}" name="Item"/>
    <tableColumn id="2" xr3:uid="{B7E82133-9757-4B58-9E48-1B2D33184814}" name="Project"/>
    <tableColumn id="5" xr3:uid="{7F94C6A6-1456-4003-9473-A379912A480D}" name="Agency"/>
    <tableColumn id="3" xr3:uid="{03E05100-4CCE-4D3E-9F9E-BB6C5F55F458}" name="Cost" totalsRowFunction="custom" totalsRowDxfId="12" dataCellStyle="Currency" totalsRowCellStyle="Currency">
      <totalsRowFormula>SUM(DirectExpensesYr2[Cost])</totalsRowFormula>
    </tableColumn>
  </tableColumns>
  <tableStyleInfo name="TableStyleMedium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83F1970-26B8-4548-8818-08E8B6F5F0B7}" name="SupportCostsYr2" displayName="SupportCostsYr2" ref="A1:E18" totalsRowCount="1">
  <autoFilter ref="A1:E17" xr:uid="{2A1F7C41-8DB2-43EA-9476-18D47CBA8906}"/>
  <sortState xmlns:xlrd2="http://schemas.microsoft.com/office/spreadsheetml/2017/richdata2" ref="A2:E17">
    <sortCondition ref="A1:A17"/>
  </sortState>
  <tableColumns count="5">
    <tableColumn id="1" xr3:uid="{B6CCF51C-0B97-4465-AA7E-A6332D7637A0}" name="Item"/>
    <tableColumn id="4" xr3:uid="{0AB7E447-E5E1-4D55-85FC-0F27037632CF}" name="Category"/>
    <tableColumn id="2" xr3:uid="{BF2B9BD5-D1AB-4946-87D7-9E8AEC9883FD}" name="Project"/>
    <tableColumn id="5" xr3:uid="{D5492C99-D354-42A2-A7C5-B6B14D4575F8}" name="Agency"/>
    <tableColumn id="3" xr3:uid="{FEAA46F2-2ED4-42B6-9EED-8C16E1B1F7BE}" name="Cost" totalsRowFunction="custom" dataDxfId="116" totalsRowDxfId="115" dataCellStyle="Currency" totalsRowCellStyle="Currency">
      <totalsRowFormula>SUM(SupportCostsYr2[Cost])</totalsRowFormula>
    </tableColumn>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E12FE39-025A-468F-AB3F-34766F19E61E}" name="ConsultantYr2" displayName="ConsultantYr2" ref="A1:J7" totalsRowCount="1">
  <autoFilter ref="A1:J6" xr:uid="{88C9FAD7-71C1-4966-B8BE-ECE1B0F26ABE}"/>
  <sortState xmlns:xlrd2="http://schemas.microsoft.com/office/spreadsheetml/2017/richdata2" ref="A3:F6">
    <sortCondition ref="B1:B6"/>
  </sortState>
  <tableColumns count="10">
    <tableColumn id="1" xr3:uid="{D3DF071A-A9D8-4F2B-B90D-D3844CC248A4}" name="Item"/>
    <tableColumn id="2" xr3:uid="{32A61042-F8DD-4B60-B798-DA78BED7B0FA}" name="Category"/>
    <tableColumn id="3" xr3:uid="{182A3DE2-C2B0-4A23-A2A6-E48D78CB89C4}" name="Project"/>
    <tableColumn id="4" xr3:uid="{B2FBAB56-D0A4-48AD-9FD3-3D33D7B5B900}" name="Agency"/>
    <tableColumn id="10" xr3:uid="{89F74884-DD24-4B4F-885A-CCDFAA63E476}" name="Funds Year"/>
    <tableColumn id="5" xr3:uid="{5A95BF3D-8500-492B-AAC4-3B9CAC412BBD}" name="Cost" dataDxfId="114" totalsRowDxfId="113" dataCellStyle="Currency" totalsRowCellStyle="Currency"/>
    <tableColumn id="6" xr3:uid="{9D6CEBB7-D040-49F7-8F1A-A3196E7B9012}" name="FHWA %" totalsRowDxfId="112" dataCellStyle="Percent" totalsRowCellStyle="Percent"/>
    <tableColumn id="7" xr3:uid="{4AB3A5B3-FDA9-4529-9164-A4F1BE239158}" name="FTA %" totalsRowDxfId="111" dataCellStyle="Percent" totalsRowCellStyle="Percent">
      <calculatedColumnFormula>1-ConsultantYr2[[#This Row],[FHWA %]]</calculatedColumnFormula>
    </tableColumn>
    <tableColumn id="8" xr3:uid="{78514B4A-1CCB-466F-8577-1D21FB209B14}" name="FHWA_Consultant Cost" totalsRowFunction="custom" dataDxfId="110" totalsRowDxfId="109">
      <calculatedColumnFormula>ConsultantYr2[[#This Row],[FHWA %]]*ConsultantYr2[[#This Row],[Cost]]</calculatedColumnFormula>
      <totalsRowFormula>SUM(ConsultantYr2[FHWA_Consultant Cost])</totalsRowFormula>
    </tableColumn>
    <tableColumn id="9" xr3:uid="{279E3FC2-85C1-46B1-96B3-04FDE96E0CCF}" name="FTA_Consultant Cost" totalsRowFunction="custom" dataDxfId="108" totalsRowDxfId="107">
      <calculatedColumnFormula>ConsultantYr2[[#This Row],[FTA %]]*ConsultantYr2[[#This Row],[Cost]]</calculatedColumnFormula>
      <totalsRowFormula>SUM(ConsultantYr2[FTA_Consultant Cost])</totalsRowFormula>
    </tableColumn>
  </tableColumns>
  <tableStyleInfo name="TableStyleMedium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B7F0547-5663-472B-A826-D91F8826DF5C}" name="BudgetYr2" displayName="BudgetYr2" ref="A1:O29" totalsRowCount="1">
  <autoFilter ref="A1:O28" xr:uid="{EB08FAFC-F9BA-4613-A8D9-0B03FDC5B954}"/>
  <tableColumns count="15">
    <tableColumn id="1" xr3:uid="{CA7DC2D2-0ADE-4CC7-B338-05FB4AD4A28A}" name="PIN"/>
    <tableColumn id="2" xr3:uid="{B74F1F40-9D0A-418A-B868-5C0A0577A31D}" name="Agency"/>
    <tableColumn id="3" xr3:uid="{CB118075-BE86-4313-BB2C-F2F0B5125CBB}" name="Project"/>
    <tableColumn id="4" xr3:uid="{05E79B2F-6797-46DD-A4BE-5E8AA62DA35E}" name="Staff Cost" totalsRowFunction="sum" dataDxfId="106" totalsRowDxfId="105" dataCellStyle="Currency">
      <calculatedColumnFormula>SUMIFS(StaffAllocYR2[Staff Cost],StaffAllocYR2[Project],BudgetYr2[[#This Row],[PIN]],StaffAllocYR2[Agency],BudgetYr2[[#This Row],[Agency]])</calculatedColumnFormula>
    </tableColumn>
    <tableColumn id="5" xr3:uid="{0937FFBD-7CFC-4C2B-8E3B-FBAED167ED3B}" name="Direct Expenses" totalsRowFunction="sum" dataDxfId="104" totalsRowDxfId="103" dataCellStyle="Currency">
      <calculatedColumnFormula>SUMIFS(DirectExpensesYr2[Cost],DirectExpensesYr2[Project],BudgetYr2[[#This Row],[PIN]],DirectExpensesYr2[Agency],BudgetYr2[[#This Row],[Agency]])</calculatedColumnFormula>
    </tableColumn>
    <tableColumn id="6" xr3:uid="{F7E5B289-6056-4CB6-A982-65CF5E076676}" name="Support Costs" totalsRowFunction="sum" dataDxfId="102" totalsRowDxfId="101" dataCellStyle="Currency">
      <calculatedColumnFormula>SUMIFS(SupportCostsYr2[Cost],SupportCostsYr2[Project],BudgetYr2[[#This Row],[PIN]],SupportCostsYr2[Agency],BudgetYr2[[#This Row],[Agency]])</calculatedColumnFormula>
    </tableColumn>
    <tableColumn id="7" xr3:uid="{9CE5979C-0CC6-4BE6-9B3F-1775CAC909B5}" name="Consultant Cost" totalsRowFunction="sum" dataDxfId="100" totalsRowDxfId="99" dataCellStyle="Currency">
      <calculatedColumnFormula>SUMIFS(ConsultantYr2[Cost],ConsultantYr2[Project],BudgetYr2[[#This Row],[PIN]],ConsultantYr2[Agency],BudgetYr2[[#This Row],[Agency]])</calculatedColumnFormula>
    </tableColumn>
    <tableColumn id="8" xr3:uid="{5A3AFF08-4DEF-4D21-A9D7-CF80BE2B63FB}" name="FHWA Consultant Cost_OLD" totalsRowFunction="sum" dataDxfId="98" totalsRowDxfId="97" dataCellStyle="Currency">
      <calculatedColumnFormula>SUMIFS(ConsultantYr2[FHWA_Consultant Cost],ConsultantYr2[Funds Year],2021,ConsultantYr2[Project],BudgetYr2[[#This Row],[PIN]],ConsultantYr2[Agency],BudgetYr2[[#This Row],[Agency]])</calculatedColumnFormula>
    </tableColumn>
    <tableColumn id="9" xr3:uid="{BA770D3F-399F-4C7D-B529-3B7F9CAFB589}" name="FTA Consultant Costs _OLD" totalsRowFunction="sum" dataDxfId="96" totalsRowDxfId="95" dataCellStyle="Currency">
      <calculatedColumnFormula>SUMIFS(ConsultantYr2[FTA_Consultant Cost],ConsultantYr2[Funds Year],2021,ConsultantYr2[Project],BudgetYr2[[#This Row],[PIN]],ConsultantYr2[Agency],BudgetYr2[[#This Row],[Agency]])</calculatedColumnFormula>
    </tableColumn>
    <tableColumn id="14" xr3:uid="{6A709A20-9418-4B59-8DBE-6930C2F3DE50}" name="FHWA_Staff_Other_OLD" totalsRowFunction="sum" dataDxfId="94" totalsRowDxfId="93" dataCellStyle="Currency"/>
    <tableColumn id="15" xr3:uid="{DAE8B439-7014-44AF-A9EB-6F52EA6D4E28}" name="FTA_Staff_Other_Old" totalsRowFunction="sum" dataDxfId="92" totalsRowDxfId="91" dataCellStyle="Currency"/>
    <tableColumn id="10" xr3:uid="{0AB13E5E-4A90-464D-AF3F-1F24E2A2F7E8}" name="FHWA Consultant Cost New" totalsRowFunction="sum" dataDxfId="90" totalsRowDxfId="89" dataCellStyle="Currency">
      <calculatedColumnFormula>SUMIFS(ConsultantYr2[FHWA_Consultant Cost],ConsultantYr2[Funds Year],2022,ConsultantYr2[Project],BudgetYr2[[#This Row],[PIN]],ConsultantYr2[Agency],BudgetYr2[[#This Row],[Agency]])</calculatedColumnFormula>
    </tableColumn>
    <tableColumn id="11" xr3:uid="{2B5FCAA3-3014-4F85-AA3D-A49AE601D9A2}" name="FTA Consultant Costs New" totalsRowFunction="sum" dataDxfId="88" totalsRowDxfId="87" dataCellStyle="Currency">
      <calculatedColumnFormula>SUMIFS(ConsultantYr2[FTA_Consultant Cost],ConsultantYr2[Funds Year],2022,ConsultantYr2[Project],BudgetYr2[[#This Row],[PIN]],ConsultantYr2[Agency],BudgetYr2[[#This Row],[Agency]])</calculatedColumnFormula>
    </tableColumn>
    <tableColumn id="12" xr3:uid="{2C6272C2-4531-452D-B361-9E8F9FF0CF54}" name="FHWA_Staff_Other New" totalsRowFunction="sum" dataDxfId="86" totalsRowDxfId="85" dataCellStyle="Currency">
      <calculatedColumnFormula array="1">SplitYr2[[FHWA]:[FHWA]]*(SUM(BudgetYr2[[#This Row],[Staff Cost]:[Support Costs]])-SUM(BudgetYr2[[#This Row],[FHWA_Staff_Other_OLD]:[FTA_Staff_Other_Old]]))</calculatedColumnFormula>
    </tableColumn>
    <tableColumn id="13" xr3:uid="{AB6F2FC4-2185-4D07-B874-880B3CEA06D9}" name="FTA_Staff_Other New" totalsRowFunction="sum" dataDxfId="84" totalsRowDxfId="83" dataCellStyle="Currency">
      <calculatedColumnFormula array="1">SplitYr2[[FTA]:[FTA]]*(SUM(BudgetYr2[[#This Row],[Staff Cost]:[Support Costs]])-SUM(BudgetYr2[[#This Row],[FHWA_Staff_Other_OLD]:[FTA_Staff_Other_Old]]))</calculatedColumnFormula>
    </tableColumn>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FA5FF2A-308B-4114-B46C-783BD3754D1E}" name="Table25" displayName="Table25" ref="B35:D38" totalsRowShown="0">
  <autoFilter ref="B35:D38" xr:uid="{DC439C6A-2B98-43F0-8FDF-E5AF57293BF0}"/>
  <tableColumns count="3">
    <tableColumn id="1" xr3:uid="{9B9DE9F0-A75D-4BC9-B51F-F1507DB70DD5}" name="Agency"/>
    <tableColumn id="2" xr3:uid="{51985F98-FABF-411A-BF8E-19ABFBA6DA51}" name="FHWA_Staff_Other" dataDxfId="82" dataCellStyle="Currency"/>
    <tableColumn id="3" xr3:uid="{C4B02D12-DB98-4091-A115-9AABDB9E991E}" name="FTA_Staff_Other" dataDxfId="81" dataCellStyle="Currency"/>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E687F14-7618-467D-A5D8-6C8A7FEBAB0E}" name="ConsultantChargesYr2" displayName="ConsultantChargesYr2" ref="A1:L7" totalsRowCount="1">
  <autoFilter ref="A1:L6" xr:uid="{F8D0AA5A-C39E-4C01-9AC1-0350F65AB992}"/>
  <sortState xmlns:xlrd2="http://schemas.microsoft.com/office/spreadsheetml/2017/richdata2" ref="A2:D5">
    <sortCondition ref="B1:B6"/>
  </sortState>
  <tableColumns count="12">
    <tableColumn id="1" xr3:uid="{686B2924-78A6-4318-B98A-8105A8ADE8A5}" name="Item"/>
    <tableColumn id="2" xr3:uid="{495E3E20-33CA-452B-BAB3-7822BDDAD215}" name="Category"/>
    <tableColumn id="3" xr3:uid="{08C38168-B0A9-4E64-A3F4-04C255AB4560}" name="Project"/>
    <tableColumn id="4" xr3:uid="{96A10CBA-F908-42EE-A34F-E1B0970CE1A2}" name="Agency"/>
    <tableColumn id="5" xr3:uid="{1931DD60-3EFE-490D-98EA-AD4F244F1D27}" name="Funds Year"/>
    <tableColumn id="11" xr3:uid="{FF3649FA-8700-4A06-80F2-929E9EDF5262}" name="Cost" dataDxfId="80" totalsRowDxfId="79" dataCellStyle="Comma" totalsRowCellStyle="Comma"/>
    <tableColumn id="10" xr3:uid="{414EF8BC-6FB6-474F-9125-D92E1CC584B3}" name="% Completed" dataDxfId="78" totalsRowDxfId="77" dataCellStyle="Percent" totalsRowCellStyle="Percent"/>
    <tableColumn id="6" xr3:uid="{9A14D613-0256-47D6-A897-CD0C58C10A8F}" name="FHWA %" totalsRowDxfId="76" dataCellStyle="Percent" totalsRowCellStyle="Percent"/>
    <tableColumn id="7" xr3:uid="{D6AF5D29-C4D4-406B-9D77-8F6431BBFA23}" name="FTA %" totalsRowDxfId="75" dataCellStyle="Percent" totalsRowCellStyle="Percent">
      <calculatedColumnFormula>1-ConsultantChargesYr2[[#This Row],[FHWA %]]</calculatedColumnFormula>
    </tableColumn>
    <tableColumn id="8" xr3:uid="{B86E404A-6565-4348-BB37-72DD8AA44ACB}" name="FHWA_Consultant Cost" totalsRowFunction="custom" dataDxfId="74" totalsRowDxfId="73" dataCellStyle="Currency">
      <calculatedColumnFormula>ConsultantChargesYr2[[#This Row],[Cost]]*ConsultantChargesYr2[[#This Row],[% Completed]]*ConsultantChargesYr2[[#This Row],[FHWA %]]</calculatedColumnFormula>
      <totalsRowFormula>SUM(ConsultantChargesYr2[FHWA_Consultant Cost])</totalsRowFormula>
    </tableColumn>
    <tableColumn id="9" xr3:uid="{15C78ED5-6287-4F77-9F1D-50A3782CD46A}" name="FTA_Consultant Cost" totalsRowFunction="custom" dataDxfId="72" totalsRowDxfId="71" dataCellStyle="Currency">
      <calculatedColumnFormula>ConsultantChargesYr2[[#This Row],[Cost]]*ConsultantChargesYr2[[#This Row],[% Completed]]*ConsultantChargesYr2[[#This Row],[FTA %]]</calculatedColumnFormula>
      <totalsRowFormula>SUM(ConsultantChargesYr2[FTA_Consultant Cost])</totalsRowFormula>
    </tableColumn>
    <tableColumn id="12" xr3:uid="{ECF59D53-F84B-4DB2-B670-6EC83A8FB52A}" name="Total" totalsRowFunction="custom" dataDxfId="70" totalsRowDxfId="69" dataCellStyle="Currency">
      <calculatedColumnFormula>SUM(ConsultantChargesYr2[[#This Row],[FHWA_Consultant Cost]:[FTA_Consultant Cost]])</calculatedColumnFormula>
      <totalsRowFormula>SUM(ConsultantChargesYr2[Total])</totalsRowFormula>
    </tableColumn>
  </tableColumns>
  <tableStyleInfo name="TableStyleMedium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6317E94-22B8-4456-AA59-46504F407A57}" name="InvoiceYr2" displayName="InvoiceYr2" ref="A1:O29" totalsRowCount="1">
  <autoFilter ref="A1:O28" xr:uid="{34465481-EA0E-451D-8269-1964B44F5C77}"/>
  <tableColumns count="15">
    <tableColumn id="1" xr3:uid="{487278E2-7E48-4F95-B8FB-AF1D4E7EF773}" name="PIN"/>
    <tableColumn id="2" xr3:uid="{1C25AA76-10CB-481A-AC14-4C279E31E9F5}" name="Agency"/>
    <tableColumn id="3" xr3:uid="{4AD2B457-D513-49D2-92C1-82F7BE6B5C9D}" name="Project"/>
    <tableColumn id="4" xr3:uid="{2E055EE0-8AF7-49D7-9A54-8A94DDD3B456}" name="Staff Cost" totalsRowFunction="custom" dataDxfId="68" totalsRowDxfId="11" dataCellStyle="Currency">
      <totalsRowFormula>SUM(InvoiceYr2[Staff Cost])</totalsRowFormula>
    </tableColumn>
    <tableColumn id="5" xr3:uid="{8B493DA5-18CC-4D8B-9305-792B6C2F290A}" name="Direct Expenses" totalsRowFunction="custom" dataDxfId="67" totalsRowDxfId="10" dataCellStyle="Currency">
      <totalsRowFormula>SUM(InvoiceYr2[Direct Expenses])</totalsRowFormula>
    </tableColumn>
    <tableColumn id="6" xr3:uid="{D9A1EC2E-8A6A-4CA1-9A0F-7DEE33D690CB}" name="Support Costs" totalsRowFunction="custom" dataDxfId="66" totalsRowDxfId="9" dataCellStyle="Currency">
      <totalsRowFormula>SUM(InvoiceYr2[Support Costs])</totalsRowFormula>
    </tableColumn>
    <tableColumn id="7" xr3:uid="{3536DFE4-5DCF-4901-9E5F-FB2DE57BEF70}" name="Consultant Cost" totalsRowFunction="custom" dataDxfId="65" totalsRowDxfId="8" dataCellStyle="Currency">
      <calculatedColumnFormula>SUMIFS(ConsultantChargesYr2[Total],ConsultantChargesYr2[Project],InvoiceYr2[[#This Row],[PIN]],ConsultantChargesYr2[Agency],InvoiceYr2[[#This Row],[Agency]])</calculatedColumnFormula>
      <totalsRowFormula>SUM(InvoiceYr2[Consultant Cost])</totalsRowFormula>
    </tableColumn>
    <tableColumn id="8" xr3:uid="{AAFE3015-C3F2-4CDB-A2F5-BF40C5436A01}" name="FHWA Consultant Cost_OLD" totalsRowFunction="custom" dataDxfId="64" totalsRowDxfId="7" dataCellStyle="Currency">
      <calculatedColumnFormula>SUMIFS(ConsultantChargesYr2[FHWA_Consultant Cost],ConsultantChargesYr2[Funds Year],2021,ConsultantChargesYr2[Project],InvoiceYr2[[#This Row],[PIN]],ConsultantChargesYr2[Agency],InvoiceYr2[[#This Row],[Agency]])</calculatedColumnFormula>
      <totalsRowFormula>SUM(InvoiceYr2[FHWA Consultant Cost_OLD])</totalsRowFormula>
    </tableColumn>
    <tableColumn id="9" xr3:uid="{54DF034B-B8B1-44C1-9734-F9EBC378837A}" name="FTA Consultant Costs _OLD" totalsRowFunction="custom" dataDxfId="63" totalsRowDxfId="6" dataCellStyle="Currency">
      <calculatedColumnFormula>SUMIFS(ConsultantChargesYr2[FTA_Consultant Cost],ConsultantChargesYr2[Funds Year],2021,ConsultantChargesYr2[Project],InvoiceYr2[[#This Row],[PIN]],ConsultantChargesYr2[Agency],InvoiceYr2[[#This Row],[Agency]])</calculatedColumnFormula>
      <totalsRowFormula>SUM(InvoiceYr2[FTA Consultant Costs _OLD])</totalsRowFormula>
    </tableColumn>
    <tableColumn id="14" xr3:uid="{390BEDA8-8A73-43A5-9FBC-F16AAD3A3B46}" name="FHWA_Staff_Other_OLD" totalsRowFunction="custom" dataDxfId="62" totalsRowDxfId="5" dataCellStyle="Currency">
      <totalsRowFormula>SUM(InvoiceYr2[FHWA_Staff_Other_OLD])</totalsRowFormula>
    </tableColumn>
    <tableColumn id="15" xr3:uid="{474A8B52-F843-414C-907A-0A3243E78A4E}" name="FTA_Staff_Other_Old" totalsRowFunction="custom" dataDxfId="61" totalsRowDxfId="4" dataCellStyle="Currency">
      <totalsRowFormula>SUM(InvoiceYr2[FTA_Staff_Other_Old])</totalsRowFormula>
    </tableColumn>
    <tableColumn id="10" xr3:uid="{B737C4D5-C625-4F87-ABCD-80CEEAE17472}" name="FHWA Consultant Cost New" totalsRowFunction="custom" dataDxfId="60" totalsRowDxfId="3" dataCellStyle="Currency">
      <calculatedColumnFormula>SUMIFS(ConsultantChargesYr2[FHWA_Consultant Cost],ConsultantChargesYr2[Funds Year],2022,ConsultantChargesYr2[Project],InvoiceYr2[[#This Row],[PIN]],ConsultantChargesYr2[Agency],InvoiceYr2[[#This Row],[Agency]])</calculatedColumnFormula>
      <totalsRowFormula>SUM(InvoiceYr2[FHWA Consultant Cost New])</totalsRowFormula>
    </tableColumn>
    <tableColumn id="11" xr3:uid="{A48FEE99-2C1F-4551-896A-2081DBEE9069}" name="FTA Consultant Costs New" totalsRowFunction="custom" dataDxfId="59" totalsRowDxfId="2" dataCellStyle="Currency">
      <calculatedColumnFormula>SUMIFS(ConsultantYr2[FTA_Consultant Cost],ConsultantYr2[Funds Year],2022,ConsultantYr2[Project],InvoiceYr2[[#This Row],[PIN]],ConsultantYr2[Agency],InvoiceYr2[[#This Row],[Agency]])</calculatedColumnFormula>
      <totalsRowFormula>SUM(InvoiceYr2[FTA Consultant Costs New])</totalsRowFormula>
    </tableColumn>
    <tableColumn id="12" xr3:uid="{9B532DB1-152C-42E0-9C9D-1AB5DC888E0D}" name="FHWA_Staff_Other New" totalsRowFunction="custom" dataDxfId="58" totalsRowDxfId="1" dataCellStyle="Currency">
      <calculatedColumnFormula array="1">SplitYr2[[FHWA]:[FHWA]]*(SUM(InvoiceYr2[[#This Row],[Staff Cost]:[Support Costs]])-SUM(InvoiceYr2[[#This Row],[FHWA_Staff_Other_OLD]:[FTA_Staff_Other_Old]]))</calculatedColumnFormula>
      <totalsRowFormula>SUM(InvoiceYr2[FHWA_Staff_Other New])</totalsRowFormula>
    </tableColumn>
    <tableColumn id="13" xr3:uid="{8B1F2572-0B03-43D7-8295-6B7B1C0427EB}" name="FTA_Staff_Other New" totalsRowFunction="custom" dataDxfId="57" totalsRowDxfId="0" dataCellStyle="Currency">
      <calculatedColumnFormula array="1">SplitYr2[[FTA]:[FTA]]*(SUM(InvoiceYr2[[#This Row],[Staff Cost]:[Support Costs]])-SUM(InvoiceYr2[[#This Row],[FHWA_Staff_Other_OLD]:[FTA_Staff_Other_Old]]))</calculatedColumnFormula>
      <totalsRowFormula>SUM(InvoiceYr2[FTA_Staff_Other New])</totalsRowFormula>
    </tableColumn>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E9798B5-59D7-44D6-B10D-A673BB96C436}" name="Projects1732" displayName="Projects1732" ref="A1:D10" totalsRowShown="0" dataDxfId="56">
  <autoFilter ref="A1:D10" xr:uid="{10F25252-42F5-419A-949D-A46028274779}"/>
  <tableColumns count="4">
    <tableColumn id="6" xr3:uid="{799C1D62-454D-4DD9-8325-E3C27C75F672}" name="PIN" dataDxfId="55"/>
    <tableColumn id="1" xr3:uid="{C4FAC919-9C02-4F28-8F87-5AE56094C5BE}" name="Project" dataDxfId="54"/>
    <tableColumn id="9" xr3:uid="{2C8DA1B5-85C2-481C-A1C3-9444EE2086B1}" name="Progress Report" dataDxfId="53"/>
    <tableColumn id="10" xr3:uid="{CCA1B822-A219-4AE9-964E-81D3C07D7093}" name="Project Status" dataDxfId="52"/>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0C24D86-5293-4308-BAA7-0C9F67491A97}" name="InvoiceYr229" displayName="InvoiceYr229" ref="A1:O29" totalsRowCount="1">
  <autoFilter ref="A1:O28" xr:uid="{D314DDC3-AF1B-452A-8D39-6CA649811B27}"/>
  <tableColumns count="15">
    <tableColumn id="1" xr3:uid="{7FF85599-F907-4CE7-949F-01447F62FE51}" name="PIN"/>
    <tableColumn id="2" xr3:uid="{7CFC8880-59C5-4A26-8710-4C3458977AB8}" name="Agency"/>
    <tableColumn id="3" xr3:uid="{00997711-4035-48B0-B3A9-A9AB902B9277}" name="Project"/>
    <tableColumn id="4" xr3:uid="{C34DF966-6D20-48CC-A256-A672DA2D6848}" name="Staff Cost" totalsRowFunction="custom" dataDxfId="51" totalsRowDxfId="50" dataCellStyle="Currency" totalsRowCellStyle="Currency">
      <calculatedColumnFormula>BudgetYr2[[#This Row],[Staff Cost]]-InvoiceYr2[[#This Row],[Staff Cost]]</calculatedColumnFormula>
      <totalsRowFormula>SUM(InvoiceYr229[Staff Cost])</totalsRowFormula>
    </tableColumn>
    <tableColumn id="5" xr3:uid="{E380CCFB-D964-4689-A898-8E91B23665C9}" name="Direct Expenses" totalsRowFunction="custom" dataDxfId="49" totalsRowDxfId="48" dataCellStyle="Currency" totalsRowCellStyle="Currency">
      <calculatedColumnFormula>BudgetYr2[[#This Row],[Direct Expenses]]-InvoiceYr2[[#This Row],[Direct Expenses]]</calculatedColumnFormula>
      <totalsRowFormula>SUM(InvoiceYr229[Direct Expenses])</totalsRowFormula>
    </tableColumn>
    <tableColumn id="6" xr3:uid="{7D185A71-E418-44B8-80E0-26F230D81236}" name="Support Costs" totalsRowFunction="custom" dataDxfId="47" totalsRowDxfId="46" dataCellStyle="Currency" totalsRowCellStyle="Currency">
      <calculatedColumnFormula>BudgetYr2[[#This Row],[Support Costs]]-InvoiceYr2[[#This Row],[Support Costs]]</calculatedColumnFormula>
      <totalsRowFormula>SUM(InvoiceYr229[Support Costs])</totalsRowFormula>
    </tableColumn>
    <tableColumn id="7" xr3:uid="{A16A051F-24C9-45C3-B6FF-787F36781170}" name="Consultant Cost" totalsRowFunction="custom" dataDxfId="45" totalsRowDxfId="44" dataCellStyle="Currency" totalsRowCellStyle="Currency">
      <calculatedColumnFormula>BudgetYr2[[#This Row],[Consultant Cost]]-InvoiceYr2[[#This Row],[Consultant Cost]]</calculatedColumnFormula>
      <totalsRowFormula>SUM(InvoiceYr229[Consultant Cost])</totalsRowFormula>
    </tableColumn>
    <tableColumn id="8" xr3:uid="{84FB95CB-2D27-40F6-8B12-5D427F5C2479}" name="FHWA Consultant Cost_OLD" totalsRowFunction="custom" dataDxfId="43" totalsRowDxfId="42" dataCellStyle="Currency" totalsRowCellStyle="Currency">
      <calculatedColumnFormula>BudgetYr2[[#This Row],[FHWA Consultant Cost_OLD]]-InvoiceYr2[[#This Row],[FHWA Consultant Cost_OLD]]</calculatedColumnFormula>
      <totalsRowFormula>SUM(InvoiceYr229[FHWA Consultant Cost_OLD])</totalsRowFormula>
    </tableColumn>
    <tableColumn id="9" xr3:uid="{3058610C-9B4B-475D-8615-CCA8D63327E3}" name="FTA Consultant Costs _OLD" totalsRowFunction="custom" dataDxfId="41" totalsRowDxfId="40" dataCellStyle="Currency" totalsRowCellStyle="Currency">
      <calculatedColumnFormula>BudgetYr2[[#This Row],[FTA Consultant Costs _OLD]]-InvoiceYr2[[#This Row],[FTA Consultant Costs _OLD]]</calculatedColumnFormula>
      <totalsRowFormula>SUM(InvoiceYr229[FTA Consultant Costs _OLD])</totalsRowFormula>
    </tableColumn>
    <tableColumn id="14" xr3:uid="{1CB5E2CC-7F14-4F2A-A94A-63F295FF59E3}" name="FHWA_Staff_Other_OLD" totalsRowFunction="custom" dataDxfId="39" totalsRowDxfId="38" dataCellStyle="Currency" totalsRowCellStyle="Currency">
      <calculatedColumnFormula>BudgetYr2[[#This Row],[FHWA_Staff_Other_OLD]]-InvoiceYr2[[#This Row],[FHWA_Staff_Other_OLD]]</calculatedColumnFormula>
      <totalsRowFormula>SUM(InvoiceYr229[FHWA_Staff_Other_OLD])</totalsRowFormula>
    </tableColumn>
    <tableColumn id="15" xr3:uid="{9A7B182F-8F0E-4A82-A184-8DC0484A7292}" name="FTA_Staff_Other_Old" totalsRowFunction="custom" dataDxfId="37" totalsRowDxfId="36" dataCellStyle="Currency" totalsRowCellStyle="Currency">
      <calculatedColumnFormula>BudgetYr2[[#This Row],[FTA_Staff_Other_Old]]-InvoiceYr2[[#This Row],[FTA_Staff_Other_Old]]</calculatedColumnFormula>
      <totalsRowFormula>SUM(InvoiceYr229[FTA_Staff_Other_Old])</totalsRowFormula>
    </tableColumn>
    <tableColumn id="10" xr3:uid="{978D8431-7E2A-4070-A5B0-E42457B8B817}" name="FHWA Consultant Cost New" totalsRowFunction="custom" dataDxfId="35" totalsRowDxfId="34" dataCellStyle="Currency" totalsRowCellStyle="Currency">
      <calculatedColumnFormula>BudgetYr2[[#This Row],[FHWA Consultant Cost New]]-InvoiceYr2[[#This Row],[FHWA Consultant Cost New]]</calculatedColumnFormula>
      <totalsRowFormula>SUM(InvoiceYr229[FHWA Consultant Cost New])</totalsRowFormula>
    </tableColumn>
    <tableColumn id="11" xr3:uid="{561A6017-917F-4CFB-BDEB-6BD4DA9EC3DA}" name="FTA Consultant Costs New" totalsRowFunction="custom" dataDxfId="33" totalsRowDxfId="32" dataCellStyle="Currency" totalsRowCellStyle="Currency">
      <calculatedColumnFormula>BudgetYr2[[#This Row],[FTA Consultant Costs New]]-InvoiceYr2[[#This Row],[FTA Consultant Costs New]]</calculatedColumnFormula>
      <totalsRowFormula>SUM(InvoiceYr229[FTA Consultant Costs New])</totalsRowFormula>
    </tableColumn>
    <tableColumn id="12" xr3:uid="{93392476-AAD0-4972-BE90-3F78B79EA030}" name="FHWA_Staff_Other New" totalsRowFunction="custom" dataDxfId="31" totalsRowDxfId="30" dataCellStyle="Currency" totalsRowCellStyle="Currency">
      <calculatedColumnFormula>BudgetYr2[[#This Row],[FHWA_Staff_Other New]]-InvoiceYr2[[#This Row],[FHWA_Staff_Other New]]</calculatedColumnFormula>
      <totalsRowFormula>SUM(InvoiceYr229[FHWA_Staff_Other New])</totalsRowFormula>
    </tableColumn>
    <tableColumn id="13" xr3:uid="{59DA5C2D-3AE3-4DF7-8706-7BC2901BEA2E}" name="FTA_Staff_Other New" totalsRowFunction="custom" dataDxfId="29" totalsRowDxfId="28" dataCellStyle="Currency" totalsRowCellStyle="Currency">
      <calculatedColumnFormula>BudgetYr2[[#This Row],[FTA_Staff_Other New]]-InvoiceYr2[[#This Row],[FTA_Staff_Other New]]</calculatedColumnFormula>
      <totalsRowFormula>SUM(InvoiceYr229[FTA_Staff_Other New])</totalsRowFormula>
    </tableColumn>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98C4764-049F-412B-B483-1E0635FE9D8F}" name="ConsultantChargesYr230" displayName="ConsultantChargesYr230" ref="A1:K7" totalsRowCount="1">
  <autoFilter ref="A1:K6" xr:uid="{150A3499-45BE-49AC-9B86-C63BE792B676}"/>
  <sortState xmlns:xlrd2="http://schemas.microsoft.com/office/spreadsheetml/2017/richdata2" ref="A2:D5">
    <sortCondition ref="B1:B6"/>
  </sortState>
  <tableColumns count="11">
    <tableColumn id="1" xr3:uid="{A3ECF171-4715-40FE-91D9-3D10E17411C4}" name="Item"/>
    <tableColumn id="2" xr3:uid="{27CBDAF7-1CA6-4C18-941C-420DB7080C9A}" name="Category"/>
    <tableColumn id="3" xr3:uid="{05A1EC01-10FD-46F3-82D4-5DEEEB9F2C34}" name="Project"/>
    <tableColumn id="4" xr3:uid="{7665BF5A-B96A-4772-B482-B27BF4C93922}" name="Agency"/>
    <tableColumn id="5" xr3:uid="{A4CEE249-97A2-4666-A91A-27A98BC6A536}" name="Funds Year"/>
    <tableColumn id="11" xr3:uid="{590833CD-9CA5-4C13-9DF8-7B50A0C2F52C}" name="Cost" totalsRowFunction="sum" dataDxfId="27" totalsRowDxfId="26" dataCellStyle="Comma">
      <calculatedColumnFormula>SUM(ConsultantChargesYr230[[#This Row],[FHWA_Consultant Cost]:[FTA_Consultant Cost]])</calculatedColumnFormula>
    </tableColumn>
    <tableColumn id="10" xr3:uid="{90ACAC4A-C342-42D6-B93D-623BE5683428}" name="% Completed" dataDxfId="25" totalsRowDxfId="24" dataCellStyle="Percent"/>
    <tableColumn id="6" xr3:uid="{B131D0C9-DF73-4DE9-9674-06CC00313F7F}" name="FHWA %" totalsRowDxfId="23" dataCellStyle="Percent"/>
    <tableColumn id="7" xr3:uid="{CF37FDA0-87E4-462A-BCDC-9FF9E1D2E49D}" name="FTA %" totalsRowDxfId="22" dataCellStyle="Percent">
      <calculatedColumnFormula>1-ConsultantChargesYr230[[#This Row],[FHWA %]]</calculatedColumnFormula>
    </tableColumn>
    <tableColumn id="8" xr3:uid="{584DA182-A5A0-4380-936F-A450DE4B2D3C}" name="FHWA_Consultant Cost" totalsRowFunction="custom" dataDxfId="21" totalsRowDxfId="20">
      <calculatedColumnFormula>ConsultantYr2[[#This Row],[FHWA_Consultant Cost]]-ConsultantChargesYr2[[#This Row],[FHWA_Consultant Cost]]</calculatedColumnFormula>
      <totalsRowFormula>SUM(ConsultantChargesYr230[FHWA_Consultant Cost])</totalsRowFormula>
    </tableColumn>
    <tableColumn id="9" xr3:uid="{91607FAF-9AE8-42A2-81A6-BC55A38B8AA9}" name="FTA_Consultant Cost" totalsRowFunction="custom" dataDxfId="19" totalsRowDxfId="18">
      <calculatedColumnFormula>ConsultantYr2[[#This Row],[FTA_Consultant Cost]]-ConsultantChargesYr2[[#This Row],[FTA_Consultant Cost]]</calculatedColumnFormula>
      <totalsRowFormula>SUM(ConsultantChargesYr230[FTA_Consultant Cost])</totalsRowFormula>
    </tableColumn>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table" Target="../tables/table24.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72FD-6180-425F-BED3-BFFCB9ED5D63}">
  <dimension ref="A1:H4"/>
  <sheetViews>
    <sheetView workbookViewId="0">
      <selection activeCell="A4" sqref="A4:H4"/>
    </sheetView>
  </sheetViews>
  <sheetFormatPr defaultRowHeight="15" x14ac:dyDescent="0.25"/>
  <sheetData>
    <row r="1" spans="1:8" ht="29.25" customHeight="1" x14ac:dyDescent="0.25">
      <c r="A1" s="36" t="s">
        <v>159</v>
      </c>
      <c r="B1" s="37"/>
      <c r="C1" s="38"/>
      <c r="D1" s="38"/>
      <c r="E1" s="38"/>
      <c r="F1" s="38"/>
      <c r="G1" s="38"/>
      <c r="H1" s="38"/>
    </row>
    <row r="2" spans="1:8" ht="15.75" x14ac:dyDescent="0.25">
      <c r="A2" s="39" t="s">
        <v>160</v>
      </c>
      <c r="B2" s="39"/>
      <c r="C2" s="40"/>
      <c r="D2" s="40"/>
      <c r="E2" s="40"/>
      <c r="F2" s="40"/>
      <c r="G2" s="40"/>
      <c r="H2" s="40"/>
    </row>
    <row r="3" spans="1:8" x14ac:dyDescent="0.25">
      <c r="A3" s="41">
        <v>44172</v>
      </c>
      <c r="B3" s="42"/>
      <c r="C3" s="40"/>
      <c r="D3" s="40"/>
      <c r="E3" s="40"/>
      <c r="F3" s="40"/>
      <c r="G3" s="40"/>
      <c r="H3" s="40"/>
    </row>
    <row r="4" spans="1:8" x14ac:dyDescent="0.25">
      <c r="A4" s="43" t="s">
        <v>161</v>
      </c>
      <c r="B4" s="43"/>
      <c r="C4" s="43"/>
      <c r="D4" s="43"/>
      <c r="E4" s="43"/>
      <c r="F4" s="43"/>
      <c r="G4" s="43"/>
      <c r="H4" s="43"/>
    </row>
  </sheetData>
  <mergeCells count="4">
    <mergeCell ref="A1:H1"/>
    <mergeCell ref="A2:H2"/>
    <mergeCell ref="A3:H3"/>
    <mergeCell ref="A4:H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3FA35-484E-411E-8078-870604A33D6A}">
  <dimension ref="A1:I4"/>
  <sheetViews>
    <sheetView workbookViewId="0">
      <selection activeCell="E4" sqref="E4"/>
    </sheetView>
  </sheetViews>
  <sheetFormatPr defaultRowHeight="15" x14ac:dyDescent="0.25"/>
  <cols>
    <col min="1" max="1" width="10.5703125" customWidth="1"/>
    <col min="2" max="3" width="18.7109375" customWidth="1"/>
    <col min="4" max="4" width="11.5703125" bestFit="1" customWidth="1"/>
    <col min="5" max="5" width="13.28515625" customWidth="1"/>
    <col min="7" max="7" width="10.5703125" customWidth="1"/>
  </cols>
  <sheetData>
    <row r="1" spans="1:9" x14ac:dyDescent="0.25">
      <c r="A1" t="s">
        <v>96</v>
      </c>
      <c r="B1" t="s">
        <v>95</v>
      </c>
      <c r="C1" t="s">
        <v>105</v>
      </c>
      <c r="D1" t="s">
        <v>106</v>
      </c>
      <c r="E1" t="s">
        <v>107</v>
      </c>
      <c r="G1" s="1" t="s">
        <v>96</v>
      </c>
      <c r="H1" s="2" t="s">
        <v>97</v>
      </c>
      <c r="I1" s="3" t="s">
        <v>98</v>
      </c>
    </row>
    <row r="2" spans="1:9" x14ac:dyDescent="0.25">
      <c r="A2" t="s">
        <v>97</v>
      </c>
      <c r="B2" s="10">
        <v>1000000</v>
      </c>
      <c r="C2" s="10">
        <f>SUM(ConsultantYr1[FTA_Consultant Cost])</f>
        <v>426638.5</v>
      </c>
      <c r="D2" s="12">
        <f>Revenue[[#This Row],[Revenue]]-Revenue[[#This Row],[Dedicated]]</f>
        <v>573361.5</v>
      </c>
      <c r="E2" s="13">
        <f>Revenue[[#This Row],[Remaining]]/SUM(Revenue[Remaining])</f>
        <v>0.33331850913955147</v>
      </c>
      <c r="G2" t="s">
        <v>99</v>
      </c>
      <c r="H2" s="14">
        <f>Revenue[[#This Row],[Program Split]]</f>
        <v>0.33331850913955147</v>
      </c>
      <c r="I2" s="14">
        <f>E3</f>
        <v>0.66668149086044848</v>
      </c>
    </row>
    <row r="3" spans="1:9" x14ac:dyDescent="0.25">
      <c r="A3" t="s">
        <v>98</v>
      </c>
      <c r="B3" s="10">
        <v>2000000</v>
      </c>
      <c r="C3" s="10">
        <f>SUM(ConsultantYr1[FHWA_Consultant Cost])</f>
        <v>853200.5</v>
      </c>
      <c r="D3" s="12">
        <f>Revenue[[#This Row],[Revenue]]-Revenue[[#This Row],[Dedicated]]</f>
        <v>1146799.5</v>
      </c>
      <c r="E3" s="13">
        <f>Revenue[[#This Row],[Remaining]]/SUM(Revenue[Remaining])</f>
        <v>0.66668149086044848</v>
      </c>
    </row>
    <row r="4" spans="1:9" x14ac:dyDescent="0.25">
      <c r="B4" s="32">
        <f>SUM(Revenue[Revenue])</f>
        <v>3000000</v>
      </c>
      <c r="C4" s="32">
        <f>SUM(Revenue[Dedicated])</f>
        <v>1279839</v>
      </c>
      <c r="D4" s="32">
        <f>SUM(Revenue[Remaining])</f>
        <v>1720161</v>
      </c>
      <c r="E4" s="34">
        <f>SUM(Revenue[Program Split])</f>
        <v>1</v>
      </c>
    </row>
  </sheetData>
  <pageMargins left="0.7" right="0.7" top="0.75" bottom="0.75" header="0.3" footer="0.3"/>
  <pageSetup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6C96F-C4DB-4CD4-96D5-BE09624827B8}">
  <dimension ref="A1:H8"/>
  <sheetViews>
    <sheetView zoomScale="70" zoomScaleNormal="70" workbookViewId="0">
      <selection activeCell="B2" sqref="B2"/>
    </sheetView>
  </sheetViews>
  <sheetFormatPr defaultRowHeight="15" x14ac:dyDescent="0.25"/>
  <cols>
    <col min="1" max="1" width="35.28515625" bestFit="1" customWidth="1"/>
    <col min="2" max="4" width="35.28515625" customWidth="1"/>
    <col min="5" max="5" width="12" bestFit="1" customWidth="1"/>
    <col min="6" max="6" width="19.5703125" customWidth="1"/>
    <col min="7" max="7" width="10" customWidth="1"/>
    <col min="8" max="8" width="11.140625" bestFit="1" customWidth="1"/>
  </cols>
  <sheetData>
    <row r="1" spans="1:8" x14ac:dyDescent="0.25">
      <c r="A1" t="s">
        <v>38</v>
      </c>
      <c r="B1" t="s">
        <v>25</v>
      </c>
      <c r="C1" t="s">
        <v>81</v>
      </c>
      <c r="D1" t="s">
        <v>82</v>
      </c>
      <c r="E1" t="s">
        <v>27</v>
      </c>
      <c r="F1" t="s">
        <v>28</v>
      </c>
      <c r="G1" t="s">
        <v>29</v>
      </c>
      <c r="H1" t="s">
        <v>30</v>
      </c>
    </row>
    <row r="2" spans="1:8" ht="150" x14ac:dyDescent="0.25">
      <c r="A2" s="16" t="s">
        <v>39</v>
      </c>
      <c r="B2" s="16" t="s">
        <v>31</v>
      </c>
      <c r="C2" s="17" t="s">
        <v>83</v>
      </c>
      <c r="D2" s="17" t="s">
        <v>84</v>
      </c>
      <c r="E2" s="17" t="s">
        <v>47</v>
      </c>
      <c r="F2" s="17" t="s">
        <v>48</v>
      </c>
      <c r="G2" s="18">
        <v>44287</v>
      </c>
      <c r="H2" s="18">
        <f>ProjectsYR1[[#This Row],[Start Date]]+365</f>
        <v>44652</v>
      </c>
    </row>
    <row r="3" spans="1:8" ht="409.5" x14ac:dyDescent="0.25">
      <c r="A3" s="16" t="s">
        <v>40</v>
      </c>
      <c r="B3" s="16" t="s">
        <v>32</v>
      </c>
      <c r="C3" s="17" t="s">
        <v>86</v>
      </c>
      <c r="D3" s="17" t="s">
        <v>85</v>
      </c>
      <c r="E3" s="17" t="s">
        <v>47</v>
      </c>
      <c r="F3" s="17" t="s">
        <v>48</v>
      </c>
      <c r="G3" s="18">
        <v>44287</v>
      </c>
      <c r="H3" s="18">
        <f>ProjectsYR1[[#This Row],[Start Date]]+365</f>
        <v>44652</v>
      </c>
    </row>
    <row r="4" spans="1:8" ht="270" x14ac:dyDescent="0.25">
      <c r="A4" s="16" t="s">
        <v>41</v>
      </c>
      <c r="B4" s="16" t="s">
        <v>33</v>
      </c>
      <c r="C4" s="17" t="s">
        <v>88</v>
      </c>
      <c r="D4" s="17" t="s">
        <v>87</v>
      </c>
      <c r="E4" s="17" t="s">
        <v>47</v>
      </c>
      <c r="F4" s="17" t="s">
        <v>48</v>
      </c>
      <c r="G4" s="18">
        <v>44287</v>
      </c>
      <c r="H4" s="18">
        <f>ProjectsYR1[[#This Row],[Start Date]]+(365*2)</f>
        <v>45017</v>
      </c>
    </row>
    <row r="5" spans="1:8" ht="75" x14ac:dyDescent="0.25">
      <c r="A5" s="16" t="s">
        <v>42</v>
      </c>
      <c r="B5" s="16" t="s">
        <v>34</v>
      </c>
      <c r="C5" s="17" t="s">
        <v>89</v>
      </c>
      <c r="D5" s="17" t="s">
        <v>90</v>
      </c>
      <c r="E5" s="17" t="s">
        <v>47</v>
      </c>
      <c r="F5" s="17" t="s">
        <v>48</v>
      </c>
      <c r="G5" s="18">
        <v>44287</v>
      </c>
      <c r="H5" s="18">
        <f>ProjectsYR1[[#This Row],[Start Date]]+(365*2)</f>
        <v>45017</v>
      </c>
    </row>
    <row r="6" spans="1:8" ht="409.5" x14ac:dyDescent="0.25">
      <c r="A6" s="16" t="s">
        <v>43</v>
      </c>
      <c r="B6" s="16" t="s">
        <v>35</v>
      </c>
      <c r="C6" s="17" t="s">
        <v>91</v>
      </c>
      <c r="D6" s="17" t="s">
        <v>92</v>
      </c>
      <c r="E6" s="17" t="s">
        <v>47</v>
      </c>
      <c r="F6" s="17" t="s">
        <v>48</v>
      </c>
      <c r="G6" s="18">
        <v>44287</v>
      </c>
      <c r="H6" s="18">
        <f>ProjectsYR1[[#This Row],[Start Date]]+365</f>
        <v>44652</v>
      </c>
    </row>
    <row r="7" spans="1:8" ht="195" x14ac:dyDescent="0.25">
      <c r="A7" s="16" t="s">
        <v>44</v>
      </c>
      <c r="B7" s="16" t="s">
        <v>36</v>
      </c>
      <c r="C7" s="17" t="s">
        <v>93</v>
      </c>
      <c r="D7" s="17"/>
      <c r="E7" s="17" t="s">
        <v>47</v>
      </c>
      <c r="F7" s="17" t="s">
        <v>48</v>
      </c>
      <c r="G7" s="18">
        <v>44287</v>
      </c>
      <c r="H7" s="18">
        <f>ProjectsYR1[[#This Row],[Start Date]]+(365*2)</f>
        <v>45017</v>
      </c>
    </row>
    <row r="8" spans="1:8" ht="405" x14ac:dyDescent="0.25">
      <c r="A8" s="16" t="s">
        <v>45</v>
      </c>
      <c r="B8" s="16" t="s">
        <v>37</v>
      </c>
      <c r="C8" s="17" t="s">
        <v>94</v>
      </c>
      <c r="D8" s="17"/>
      <c r="E8" s="17" t="s">
        <v>47</v>
      </c>
      <c r="F8" s="17" t="s">
        <v>48</v>
      </c>
      <c r="G8" s="18">
        <v>44287</v>
      </c>
      <c r="H8" s="18">
        <f>ProjectsYR1[[#This Row],[Start Date]]+(365*2)</f>
        <v>45017</v>
      </c>
    </row>
  </sheetData>
  <phoneticPr fontId="4"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A284-E441-42DC-B124-98F04DE38989}">
  <dimension ref="A1:D11"/>
  <sheetViews>
    <sheetView workbookViewId="0">
      <selection activeCell="C12" sqref="C12"/>
    </sheetView>
  </sheetViews>
  <sheetFormatPr defaultRowHeight="15" x14ac:dyDescent="0.25"/>
  <cols>
    <col min="1" max="1" width="22.85546875" customWidth="1"/>
    <col min="2" max="2" width="26.28515625" customWidth="1"/>
    <col min="3" max="3" width="13.42578125" customWidth="1"/>
    <col min="4" max="4" width="18.7109375" customWidth="1"/>
  </cols>
  <sheetData>
    <row r="1" spans="1:4" x14ac:dyDescent="0.25">
      <c r="A1" t="s">
        <v>12</v>
      </c>
      <c r="B1" t="s">
        <v>1</v>
      </c>
      <c r="C1" t="s">
        <v>0</v>
      </c>
      <c r="D1" t="s">
        <v>21</v>
      </c>
    </row>
    <row r="2" spans="1:4" ht="16.5" x14ac:dyDescent="0.25">
      <c r="A2" s="4" t="s">
        <v>2</v>
      </c>
      <c r="B2" t="s">
        <v>13</v>
      </c>
      <c r="C2" s="10">
        <v>1146</v>
      </c>
      <c r="D2" t="s">
        <v>22</v>
      </c>
    </row>
    <row r="3" spans="1:4" ht="16.5" x14ac:dyDescent="0.25">
      <c r="A3" s="4" t="s">
        <v>3</v>
      </c>
      <c r="B3" t="s">
        <v>14</v>
      </c>
      <c r="C3" s="10">
        <v>416</v>
      </c>
      <c r="D3" t="s">
        <v>22</v>
      </c>
    </row>
    <row r="4" spans="1:4" ht="16.5" x14ac:dyDescent="0.25">
      <c r="A4" s="4" t="s">
        <v>4</v>
      </c>
      <c r="B4" t="s">
        <v>15</v>
      </c>
      <c r="C4" s="10">
        <v>1466</v>
      </c>
      <c r="D4" t="s">
        <v>22</v>
      </c>
    </row>
    <row r="5" spans="1:4" ht="16.5" x14ac:dyDescent="0.25">
      <c r="A5" s="4" t="s">
        <v>5</v>
      </c>
      <c r="B5" t="s">
        <v>16</v>
      </c>
      <c r="C5" s="10">
        <v>614</v>
      </c>
      <c r="D5" t="s">
        <v>23</v>
      </c>
    </row>
    <row r="6" spans="1:4" ht="16.5" x14ac:dyDescent="0.25">
      <c r="A6" s="4" t="s">
        <v>6</v>
      </c>
      <c r="B6" t="s">
        <v>17</v>
      </c>
      <c r="C6" s="10">
        <v>936</v>
      </c>
      <c r="D6" t="s">
        <v>22</v>
      </c>
    </row>
    <row r="7" spans="1:4" ht="16.5" x14ac:dyDescent="0.25">
      <c r="A7" s="4" t="s">
        <v>7</v>
      </c>
      <c r="B7" t="s">
        <v>18</v>
      </c>
      <c r="C7" s="10">
        <v>1278</v>
      </c>
      <c r="D7" t="s">
        <v>23</v>
      </c>
    </row>
    <row r="8" spans="1:4" ht="16.5" x14ac:dyDescent="0.25">
      <c r="A8" s="4" t="s">
        <v>8</v>
      </c>
      <c r="B8" t="s">
        <v>19</v>
      </c>
      <c r="C8" s="10">
        <v>1493</v>
      </c>
      <c r="D8" t="s">
        <v>24</v>
      </c>
    </row>
    <row r="9" spans="1:4" ht="16.5" x14ac:dyDescent="0.25">
      <c r="A9" s="4" t="s">
        <v>9</v>
      </c>
      <c r="B9" t="s">
        <v>19</v>
      </c>
      <c r="C9" s="10">
        <v>1199</v>
      </c>
      <c r="D9" t="s">
        <v>24</v>
      </c>
    </row>
    <row r="10" spans="1:4" ht="16.5" x14ac:dyDescent="0.25">
      <c r="A10" s="4" t="s">
        <v>10</v>
      </c>
      <c r="B10" t="s">
        <v>20</v>
      </c>
      <c r="C10" s="10">
        <v>826</v>
      </c>
      <c r="D10" t="s">
        <v>22</v>
      </c>
    </row>
    <row r="11" spans="1:4" ht="16.5" x14ac:dyDescent="0.25">
      <c r="A11" s="4" t="s">
        <v>11</v>
      </c>
      <c r="B11" t="s">
        <v>20</v>
      </c>
      <c r="C11" s="10">
        <v>489</v>
      </c>
      <c r="D11" t="s">
        <v>22</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F831C-3378-41F6-9C39-A62AD0CA34C9}">
  <dimension ref="A1:E22"/>
  <sheetViews>
    <sheetView workbookViewId="0">
      <selection activeCell="E16" sqref="E16"/>
    </sheetView>
  </sheetViews>
  <sheetFormatPr defaultRowHeight="15" x14ac:dyDescent="0.25"/>
  <cols>
    <col min="1" max="1" width="23" customWidth="1"/>
    <col min="2" max="2" width="17" bestFit="1" customWidth="1"/>
    <col min="3" max="3" width="9.42578125" customWidth="1"/>
    <col min="4" max="4" width="15.7109375" customWidth="1"/>
    <col min="5" max="5" width="11.7109375" bestFit="1" customWidth="1"/>
  </cols>
  <sheetData>
    <row r="1" spans="1:5" x14ac:dyDescent="0.25">
      <c r="A1" t="s">
        <v>26</v>
      </c>
      <c r="B1" t="s">
        <v>21</v>
      </c>
      <c r="C1" t="s">
        <v>25</v>
      </c>
      <c r="D1" t="s">
        <v>46</v>
      </c>
      <c r="E1" t="s">
        <v>77</v>
      </c>
    </row>
    <row r="2" spans="1:5" x14ac:dyDescent="0.25">
      <c r="A2" t="s">
        <v>2</v>
      </c>
      <c r="B2" t="str">
        <f>INDEX(StaffYR1[],MATCH(StaffAllocYR1[[#This Row],[Staff]],StaffYR1[Name],0),4)</f>
        <v>MPO Staff</v>
      </c>
      <c r="C2" t="s">
        <v>45</v>
      </c>
      <c r="D2" s="33">
        <v>1</v>
      </c>
      <c r="E2" s="33">
        <f>INDEX(StaffYR1[],MATCH(StaffAllocYR1[[#This Row],[Staff]],StaffYR1[Name],0),3)*StaffAllocYR1[[#This Row],[Days Assigned]]</f>
        <v>1146</v>
      </c>
    </row>
    <row r="3" spans="1:5" x14ac:dyDescent="0.25">
      <c r="A3" t="s">
        <v>3</v>
      </c>
      <c r="B3" t="str">
        <f>INDEX(StaffYR1[],MATCH(StaffAllocYR1[[#This Row],[Staff]],StaffYR1[Name],0),4)</f>
        <v>MPO Staff</v>
      </c>
      <c r="C3" t="s">
        <v>39</v>
      </c>
      <c r="D3" s="33">
        <v>8</v>
      </c>
      <c r="E3" s="33">
        <f>INDEX(StaffYR1[],MATCH(StaffAllocYR1[[#This Row],[Staff]],StaffYR1[Name],0),3)*StaffAllocYR1[[#This Row],[Days Assigned]]</f>
        <v>3328</v>
      </c>
    </row>
    <row r="4" spans="1:5" x14ac:dyDescent="0.25">
      <c r="A4" t="s">
        <v>4</v>
      </c>
      <c r="B4" t="str">
        <f>INDEX(StaffYR1[],MATCH(StaffAllocYR1[[#This Row],[Staff]],StaffYR1[Name],0),4)</f>
        <v>MPO Staff</v>
      </c>
      <c r="C4" t="s">
        <v>39</v>
      </c>
      <c r="D4" s="33">
        <v>50</v>
      </c>
      <c r="E4" s="33">
        <f>INDEX(StaffYR1[],MATCH(StaffAllocYR1[[#This Row],[Staff]],StaffYR1[Name],0),3)*StaffAllocYR1[[#This Row],[Days Assigned]]</f>
        <v>73300</v>
      </c>
    </row>
    <row r="5" spans="1:5" x14ac:dyDescent="0.25">
      <c r="A5" t="s">
        <v>5</v>
      </c>
      <c r="B5" t="str">
        <f>INDEX(StaffYR1[],MATCH(StaffAllocYR1[[#This Row],[Staff]],StaffYR1[Name],0),4)</f>
        <v>Member Agency 1</v>
      </c>
      <c r="C5" t="s">
        <v>41</v>
      </c>
      <c r="D5" s="33">
        <v>150</v>
      </c>
      <c r="E5" s="33">
        <f>INDEX(StaffYR1[],MATCH(StaffAllocYR1[[#This Row],[Staff]],StaffYR1[Name],0),3)*StaffAllocYR1[[#This Row],[Days Assigned]]</f>
        <v>92100</v>
      </c>
    </row>
    <row r="6" spans="1:5" x14ac:dyDescent="0.25">
      <c r="A6" t="s">
        <v>6</v>
      </c>
      <c r="B6" t="str">
        <f>INDEX(StaffYR1[],MATCH(StaffAllocYR1[[#This Row],[Staff]],StaffYR1[Name],0),4)</f>
        <v>MPO Staff</v>
      </c>
      <c r="C6" t="s">
        <v>41</v>
      </c>
      <c r="D6" s="33">
        <v>200</v>
      </c>
      <c r="E6" s="33">
        <f>INDEX(StaffYR1[],MATCH(StaffAllocYR1[[#This Row],[Staff]],StaffYR1[Name],0),3)*StaffAllocYR1[[#This Row],[Days Assigned]]</f>
        <v>187200</v>
      </c>
    </row>
    <row r="7" spans="1:5" x14ac:dyDescent="0.25">
      <c r="A7" t="s">
        <v>7</v>
      </c>
      <c r="B7" t="str">
        <f>INDEX(StaffYR1[],MATCH(StaffAllocYR1[[#This Row],[Staff]],StaffYR1[Name],0),4)</f>
        <v>Member Agency 1</v>
      </c>
      <c r="C7" t="s">
        <v>45</v>
      </c>
      <c r="D7" s="33">
        <v>11</v>
      </c>
      <c r="E7" s="33">
        <f>INDEX(StaffYR1[],MATCH(StaffAllocYR1[[#This Row],[Staff]],StaffYR1[Name],0),3)*StaffAllocYR1[[#This Row],[Days Assigned]]</f>
        <v>14058</v>
      </c>
    </row>
    <row r="8" spans="1:5" x14ac:dyDescent="0.25">
      <c r="A8" t="s">
        <v>8</v>
      </c>
      <c r="B8" t="str">
        <f>INDEX(StaffYR1[],MATCH(StaffAllocYR1[[#This Row],[Staff]],StaffYR1[Name],0),4)</f>
        <v>Member Agency 2</v>
      </c>
      <c r="C8" t="s">
        <v>42</v>
      </c>
      <c r="D8" s="33">
        <v>48</v>
      </c>
      <c r="E8" s="33">
        <f>INDEX(StaffYR1[],MATCH(StaffAllocYR1[[#This Row],[Staff]],StaffYR1[Name],0),3)*StaffAllocYR1[[#This Row],[Days Assigned]]</f>
        <v>71664</v>
      </c>
    </row>
    <row r="9" spans="1:5" x14ac:dyDescent="0.25">
      <c r="A9" t="s">
        <v>9</v>
      </c>
      <c r="B9" t="str">
        <f>INDEX(StaffYR1[],MATCH(StaffAllocYR1[[#This Row],[Staff]],StaffYR1[Name],0),4)</f>
        <v>Member Agency 2</v>
      </c>
      <c r="C9" t="s">
        <v>40</v>
      </c>
      <c r="D9" s="33">
        <v>38</v>
      </c>
      <c r="E9" s="33">
        <f>INDEX(StaffYR1[],MATCH(StaffAllocYR1[[#This Row],[Staff]],StaffYR1[Name],0),3)*StaffAllocYR1[[#This Row],[Days Assigned]]</f>
        <v>45562</v>
      </c>
    </row>
    <row r="10" spans="1:5" x14ac:dyDescent="0.25">
      <c r="A10" t="s">
        <v>10</v>
      </c>
      <c r="B10" t="str">
        <f>INDEX(StaffYR1[],MATCH(StaffAllocYR1[[#This Row],[Staff]],StaffYR1[Name],0),4)</f>
        <v>MPO Staff</v>
      </c>
      <c r="C10" t="s">
        <v>44</v>
      </c>
      <c r="D10" s="33">
        <v>41</v>
      </c>
      <c r="E10" s="33">
        <f>INDEX(StaffYR1[],MATCH(StaffAllocYR1[[#This Row],[Staff]],StaffYR1[Name],0),3)*StaffAllocYR1[[#This Row],[Days Assigned]]</f>
        <v>33866</v>
      </c>
    </row>
    <row r="11" spans="1:5" x14ac:dyDescent="0.25">
      <c r="A11" t="s">
        <v>11</v>
      </c>
      <c r="B11" t="str">
        <f>INDEX(StaffYR1[],MATCH(StaffAllocYR1[[#This Row],[Staff]],StaffYR1[Name],0),4)</f>
        <v>MPO Staff</v>
      </c>
      <c r="C11" t="s">
        <v>39</v>
      </c>
      <c r="D11" s="33">
        <v>17</v>
      </c>
      <c r="E11" s="33">
        <f>INDEX(StaffYR1[],MATCH(StaffAllocYR1[[#This Row],[Staff]],StaffYR1[Name],0),3)*StaffAllocYR1[[#This Row],[Days Assigned]]</f>
        <v>8313</v>
      </c>
    </row>
    <row r="12" spans="1:5" x14ac:dyDescent="0.25">
      <c r="A12" t="s">
        <v>2</v>
      </c>
      <c r="B12" t="str">
        <f>INDEX(StaffYR1[],MATCH(StaffAllocYR1[[#This Row],[Staff]],StaffYR1[Name],0),4)</f>
        <v>MPO Staff</v>
      </c>
      <c r="C12" t="s">
        <v>41</v>
      </c>
      <c r="D12" s="33">
        <v>45</v>
      </c>
      <c r="E12" s="33">
        <f>INDEX(StaffYR1[],MATCH(StaffAllocYR1[[#This Row],[Staff]],StaffYR1[Name],0),3)*StaffAllocYR1[[#This Row],[Days Assigned]]</f>
        <v>51570</v>
      </c>
    </row>
    <row r="13" spans="1:5" x14ac:dyDescent="0.25">
      <c r="A13" t="s">
        <v>3</v>
      </c>
      <c r="B13" t="str">
        <f>INDEX(StaffYR1[],MATCH(StaffAllocYR1[[#This Row],[Staff]],StaffYR1[Name],0),4)</f>
        <v>MPO Staff</v>
      </c>
      <c r="C13" t="s">
        <v>40</v>
      </c>
      <c r="D13" s="33">
        <v>38</v>
      </c>
      <c r="E13" s="33">
        <f>INDEX(StaffYR1[],MATCH(StaffAllocYR1[[#This Row],[Staff]],StaffYR1[Name],0),3)*StaffAllocYR1[[#This Row],[Days Assigned]]</f>
        <v>15808</v>
      </c>
    </row>
    <row r="14" spans="1:5" x14ac:dyDescent="0.25">
      <c r="A14" t="s">
        <v>4</v>
      </c>
      <c r="B14" t="str">
        <f>INDEX(StaffYR1[],MATCH(StaffAllocYR1[[#This Row],[Staff]],StaffYR1[Name],0),4)</f>
        <v>MPO Staff</v>
      </c>
      <c r="C14" t="s">
        <v>45</v>
      </c>
      <c r="D14" s="33">
        <v>17</v>
      </c>
      <c r="E14" s="33">
        <f>INDEX(StaffYR1[],MATCH(StaffAllocYR1[[#This Row],[Staff]],StaffYR1[Name],0),3)*StaffAllocYR1[[#This Row],[Days Assigned]]</f>
        <v>24922</v>
      </c>
    </row>
    <row r="15" spans="1:5" x14ac:dyDescent="0.25">
      <c r="A15" t="s">
        <v>5</v>
      </c>
      <c r="B15" t="str">
        <f>INDEX(StaffYR1[],MATCH(StaffAllocYR1[[#This Row],[Staff]],StaffYR1[Name],0),4)</f>
        <v>Member Agency 1</v>
      </c>
      <c r="C15" t="s">
        <v>44</v>
      </c>
      <c r="D15" s="33">
        <v>6</v>
      </c>
      <c r="E15" s="33">
        <f>INDEX(StaffYR1[],MATCH(StaffAllocYR1[[#This Row],[Staff]],StaffYR1[Name],0),3)*StaffAllocYR1[[#This Row],[Days Assigned]]</f>
        <v>3684</v>
      </c>
    </row>
    <row r="16" spans="1:5" x14ac:dyDescent="0.25">
      <c r="A16" t="s">
        <v>6</v>
      </c>
      <c r="B16" t="str">
        <f>INDEX(StaffYR1[],MATCH(StaffAllocYR1[[#This Row],[Staff]],StaffYR1[Name],0),4)</f>
        <v>MPO Staff</v>
      </c>
      <c r="C16" t="s">
        <v>40</v>
      </c>
      <c r="D16" s="33">
        <v>7</v>
      </c>
      <c r="E16" s="33">
        <f>INDEX(StaffYR1[],MATCH(StaffAllocYR1[[#This Row],[Staff]],StaffYR1[Name],0),3)*StaffAllocYR1[[#This Row],[Days Assigned]]</f>
        <v>6552</v>
      </c>
    </row>
    <row r="17" spans="1:5" x14ac:dyDescent="0.25">
      <c r="A17" t="s">
        <v>7</v>
      </c>
      <c r="B17" t="str">
        <f>INDEX(StaffYR1[],MATCH(StaffAllocYR1[[#This Row],[Staff]],StaffYR1[Name],0),4)</f>
        <v>Member Agency 1</v>
      </c>
      <c r="C17" t="s">
        <v>45</v>
      </c>
      <c r="D17" s="33">
        <v>1</v>
      </c>
      <c r="E17" s="33">
        <f>INDEX(StaffYR1[],MATCH(StaffAllocYR1[[#This Row],[Staff]],StaffYR1[Name],0),3)*StaffAllocYR1[[#This Row],[Days Assigned]]</f>
        <v>1278</v>
      </c>
    </row>
    <row r="18" spans="1:5" x14ac:dyDescent="0.25">
      <c r="A18" t="s">
        <v>8</v>
      </c>
      <c r="B18" t="str">
        <f>INDEX(StaffYR1[],MATCH(StaffAllocYR1[[#This Row],[Staff]],StaffYR1[Name],0),4)</f>
        <v>Member Agency 2</v>
      </c>
      <c r="C18" t="s">
        <v>42</v>
      </c>
      <c r="D18" s="33">
        <v>16</v>
      </c>
      <c r="E18" s="33">
        <f>INDEX(StaffYR1[],MATCH(StaffAllocYR1[[#This Row],[Staff]],StaffYR1[Name],0),3)*StaffAllocYR1[[#This Row],[Days Assigned]]</f>
        <v>23888</v>
      </c>
    </row>
    <row r="19" spans="1:5" x14ac:dyDescent="0.25">
      <c r="A19" t="s">
        <v>9</v>
      </c>
      <c r="B19" t="str">
        <f>INDEX(StaffYR1[],MATCH(StaffAllocYR1[[#This Row],[Staff]],StaffYR1[Name],0),4)</f>
        <v>Member Agency 2</v>
      </c>
      <c r="C19" t="s">
        <v>45</v>
      </c>
      <c r="D19" s="33">
        <v>14</v>
      </c>
      <c r="E19" s="33">
        <f>INDEX(StaffYR1[],MATCH(StaffAllocYR1[[#This Row],[Staff]],StaffYR1[Name],0),3)*StaffAllocYR1[[#This Row],[Days Assigned]]</f>
        <v>16786</v>
      </c>
    </row>
    <row r="20" spans="1:5" x14ac:dyDescent="0.25">
      <c r="A20" t="s">
        <v>10</v>
      </c>
      <c r="B20" t="str">
        <f>INDEX(StaffYR1[],MATCH(StaffAllocYR1[[#This Row],[Staff]],StaffYR1[Name],0),4)</f>
        <v>MPO Staff</v>
      </c>
      <c r="C20" t="s">
        <v>42</v>
      </c>
      <c r="D20" s="33">
        <v>12</v>
      </c>
      <c r="E20" s="33">
        <f>INDEX(StaffYR1[],MATCH(StaffAllocYR1[[#This Row],[Staff]],StaffYR1[Name],0),3)*StaffAllocYR1[[#This Row],[Days Assigned]]</f>
        <v>9912</v>
      </c>
    </row>
    <row r="21" spans="1:5" x14ac:dyDescent="0.25">
      <c r="A21" t="s">
        <v>11</v>
      </c>
      <c r="B21" t="str">
        <f>INDEX(StaffYR1[],MATCH(StaffAllocYR1[[#This Row],[Staff]],StaffYR1[Name],0),4)</f>
        <v>MPO Staff</v>
      </c>
      <c r="C21" t="s">
        <v>45</v>
      </c>
      <c r="D21" s="33">
        <v>40</v>
      </c>
      <c r="E21" s="33">
        <f>INDEX(StaffYR1[],MATCH(StaffAllocYR1[[#This Row],[Staff]],StaffYR1[Name],0),3)*StaffAllocYR1[[#This Row],[Days Assigned]]</f>
        <v>19560</v>
      </c>
    </row>
    <row r="22" spans="1:5" x14ac:dyDescent="0.25">
      <c r="D22">
        <f>SUM(StaffAllocYR1[Days Assigned])</f>
        <v>760</v>
      </c>
      <c r="E22">
        <f>SUM(StaffAllocYR1[Staff Cost])</f>
        <v>704497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AB33E-0BC0-4612-9ABF-50FA5A8FE6EC}">
  <dimension ref="A1:E23"/>
  <sheetViews>
    <sheetView workbookViewId="0">
      <selection activeCell="E23" sqref="E23"/>
    </sheetView>
  </sheetViews>
  <sheetFormatPr defaultRowHeight="15" x14ac:dyDescent="0.25"/>
  <cols>
    <col min="1" max="2" width="26.85546875" customWidth="1"/>
    <col min="3" max="3" width="9.5703125" bestFit="1" customWidth="1"/>
    <col min="4" max="4" width="17" bestFit="1" customWidth="1"/>
    <col min="5" max="5" width="16" bestFit="1" customWidth="1"/>
  </cols>
  <sheetData>
    <row r="1" spans="1:5" x14ac:dyDescent="0.25">
      <c r="A1" t="s">
        <v>57</v>
      </c>
      <c r="B1" t="s">
        <v>56</v>
      </c>
      <c r="C1" t="s">
        <v>25</v>
      </c>
      <c r="D1" t="s">
        <v>21</v>
      </c>
      <c r="E1" t="s">
        <v>64</v>
      </c>
    </row>
    <row r="2" spans="1:5" x14ac:dyDescent="0.25">
      <c r="A2" t="s">
        <v>50</v>
      </c>
      <c r="B2" t="s">
        <v>58</v>
      </c>
      <c r="C2" t="s">
        <v>42</v>
      </c>
      <c r="D2" t="s">
        <v>22</v>
      </c>
      <c r="E2" s="33">
        <v>37859</v>
      </c>
    </row>
    <row r="3" spans="1:5" x14ac:dyDescent="0.25">
      <c r="A3" t="s">
        <v>51</v>
      </c>
      <c r="B3" t="s">
        <v>59</v>
      </c>
      <c r="C3" t="s">
        <v>40</v>
      </c>
      <c r="D3" t="s">
        <v>22</v>
      </c>
      <c r="E3" s="33">
        <v>26610</v>
      </c>
    </row>
    <row r="4" spans="1:5" x14ac:dyDescent="0.25">
      <c r="A4" t="s">
        <v>52</v>
      </c>
      <c r="B4" t="s">
        <v>60</v>
      </c>
      <c r="C4" t="s">
        <v>42</v>
      </c>
      <c r="D4" t="s">
        <v>22</v>
      </c>
      <c r="E4" s="33">
        <v>3331</v>
      </c>
    </row>
    <row r="5" spans="1:5" x14ac:dyDescent="0.25">
      <c r="A5" t="s">
        <v>49</v>
      </c>
      <c r="B5" t="s">
        <v>61</v>
      </c>
      <c r="C5" t="s">
        <v>45</v>
      </c>
      <c r="D5" t="s">
        <v>23</v>
      </c>
      <c r="E5" s="33">
        <v>17344</v>
      </c>
    </row>
    <row r="6" spans="1:5" x14ac:dyDescent="0.25">
      <c r="A6" t="s">
        <v>53</v>
      </c>
      <c r="B6" t="s">
        <v>62</v>
      </c>
      <c r="C6" t="s">
        <v>45</v>
      </c>
      <c r="D6" t="s">
        <v>22</v>
      </c>
      <c r="E6" s="33">
        <v>42692</v>
      </c>
    </row>
    <row r="7" spans="1:5" x14ac:dyDescent="0.25">
      <c r="A7" t="s">
        <v>54</v>
      </c>
      <c r="B7" t="s">
        <v>63</v>
      </c>
      <c r="C7" t="s">
        <v>43</v>
      </c>
      <c r="D7" t="s">
        <v>23</v>
      </c>
      <c r="E7" s="33">
        <v>3594</v>
      </c>
    </row>
    <row r="8" spans="1:5" x14ac:dyDescent="0.25">
      <c r="A8" t="s">
        <v>55</v>
      </c>
      <c r="B8" t="s">
        <v>65</v>
      </c>
      <c r="C8" t="s">
        <v>45</v>
      </c>
      <c r="D8" t="s">
        <v>24</v>
      </c>
      <c r="E8" s="33">
        <v>29401</v>
      </c>
    </row>
    <row r="9" spans="1:5" x14ac:dyDescent="0.25">
      <c r="A9" t="s">
        <v>50</v>
      </c>
      <c r="B9" t="s">
        <v>58</v>
      </c>
      <c r="C9" t="s">
        <v>45</v>
      </c>
      <c r="D9" t="s">
        <v>24</v>
      </c>
      <c r="E9" s="33">
        <v>15865</v>
      </c>
    </row>
    <row r="10" spans="1:5" x14ac:dyDescent="0.25">
      <c r="A10" t="s">
        <v>51</v>
      </c>
      <c r="B10" t="s">
        <v>59</v>
      </c>
      <c r="C10" t="s">
        <v>41</v>
      </c>
      <c r="D10" t="s">
        <v>22</v>
      </c>
      <c r="E10" s="33">
        <v>6797</v>
      </c>
    </row>
    <row r="11" spans="1:5" x14ac:dyDescent="0.25">
      <c r="A11" t="s">
        <v>52</v>
      </c>
      <c r="B11" t="s">
        <v>60</v>
      </c>
      <c r="C11" t="s">
        <v>45</v>
      </c>
      <c r="D11" t="s">
        <v>22</v>
      </c>
      <c r="E11" s="33">
        <v>2895</v>
      </c>
    </row>
    <row r="12" spans="1:5" x14ac:dyDescent="0.25">
      <c r="A12" t="s">
        <v>49</v>
      </c>
      <c r="B12" t="s">
        <v>61</v>
      </c>
      <c r="C12" t="s">
        <v>39</v>
      </c>
      <c r="D12" t="s">
        <v>22</v>
      </c>
      <c r="E12" s="33">
        <v>24833</v>
      </c>
    </row>
    <row r="13" spans="1:5" x14ac:dyDescent="0.25">
      <c r="A13" t="s">
        <v>53</v>
      </c>
      <c r="B13" t="s">
        <v>62</v>
      </c>
      <c r="C13" t="s">
        <v>45</v>
      </c>
      <c r="D13" t="s">
        <v>22</v>
      </c>
      <c r="E13" s="33">
        <v>42729</v>
      </c>
    </row>
    <row r="14" spans="1:5" x14ac:dyDescent="0.25">
      <c r="A14" t="s">
        <v>54</v>
      </c>
      <c r="B14" t="s">
        <v>63</v>
      </c>
      <c r="C14" t="s">
        <v>39</v>
      </c>
      <c r="D14" t="s">
        <v>22</v>
      </c>
      <c r="E14" s="33">
        <v>30611</v>
      </c>
    </row>
    <row r="15" spans="1:5" x14ac:dyDescent="0.25">
      <c r="A15" t="s">
        <v>55</v>
      </c>
      <c r="B15" t="s">
        <v>65</v>
      </c>
      <c r="C15" t="s">
        <v>45</v>
      </c>
      <c r="D15" t="s">
        <v>23</v>
      </c>
      <c r="E15" s="33">
        <v>43976</v>
      </c>
    </row>
    <row r="16" spans="1:5" x14ac:dyDescent="0.25">
      <c r="A16" t="s">
        <v>50</v>
      </c>
      <c r="B16" t="s">
        <v>58</v>
      </c>
      <c r="C16" t="s">
        <v>43</v>
      </c>
      <c r="D16" t="s">
        <v>22</v>
      </c>
      <c r="E16" s="33">
        <v>13361</v>
      </c>
    </row>
    <row r="17" spans="1:5" x14ac:dyDescent="0.25">
      <c r="A17" t="s">
        <v>51</v>
      </c>
      <c r="B17" t="s">
        <v>59</v>
      </c>
      <c r="C17" t="s">
        <v>43</v>
      </c>
      <c r="D17" t="s">
        <v>23</v>
      </c>
      <c r="E17" s="33">
        <v>44274</v>
      </c>
    </row>
    <row r="18" spans="1:5" x14ac:dyDescent="0.25">
      <c r="A18" t="s">
        <v>52</v>
      </c>
      <c r="B18" t="s">
        <v>60</v>
      </c>
      <c r="C18" t="s">
        <v>45</v>
      </c>
      <c r="D18" t="s">
        <v>24</v>
      </c>
      <c r="E18" s="33">
        <v>10791</v>
      </c>
    </row>
    <row r="19" spans="1:5" x14ac:dyDescent="0.25">
      <c r="A19" t="s">
        <v>49</v>
      </c>
      <c r="B19" t="s">
        <v>61</v>
      </c>
      <c r="C19" t="s">
        <v>43</v>
      </c>
      <c r="D19" t="s">
        <v>24</v>
      </c>
      <c r="E19" s="33">
        <v>33987</v>
      </c>
    </row>
    <row r="20" spans="1:5" x14ac:dyDescent="0.25">
      <c r="A20" t="s">
        <v>53</v>
      </c>
      <c r="B20" t="s">
        <v>62</v>
      </c>
      <c r="C20" t="s">
        <v>43</v>
      </c>
      <c r="D20" t="s">
        <v>22</v>
      </c>
      <c r="E20" s="33">
        <v>36188</v>
      </c>
    </row>
    <row r="21" spans="1:5" x14ac:dyDescent="0.25">
      <c r="A21" t="s">
        <v>54</v>
      </c>
      <c r="B21" t="s">
        <v>63</v>
      </c>
      <c r="C21" t="s">
        <v>42</v>
      </c>
      <c r="D21" t="s">
        <v>22</v>
      </c>
      <c r="E21" s="33">
        <v>31876</v>
      </c>
    </row>
    <row r="22" spans="1:5" x14ac:dyDescent="0.25">
      <c r="A22" t="s">
        <v>55</v>
      </c>
      <c r="B22" t="s">
        <v>65</v>
      </c>
      <c r="C22" t="s">
        <v>40</v>
      </c>
      <c r="D22" t="s">
        <v>22</v>
      </c>
      <c r="E22" s="33">
        <v>31000</v>
      </c>
    </row>
    <row r="23" spans="1:5" x14ac:dyDescent="0.25">
      <c r="E23" s="33">
        <f>SUM(DirectExpensesYR1[Cost])</f>
        <v>530014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40B1A-C9C4-437B-92D7-5CA2BA638A98}">
  <dimension ref="A1:E18"/>
  <sheetViews>
    <sheetView workbookViewId="0">
      <selection activeCell="E19" sqref="E19"/>
    </sheetView>
  </sheetViews>
  <sheetFormatPr defaultRowHeight="15" x14ac:dyDescent="0.25"/>
  <cols>
    <col min="1" max="1" width="29.28515625" bestFit="1" customWidth="1"/>
    <col min="2" max="2" width="47.5703125" customWidth="1"/>
    <col min="3" max="3" width="9.140625" bestFit="1" customWidth="1"/>
    <col min="4" max="4" width="15.85546875" bestFit="1" customWidth="1"/>
    <col min="5" max="5" width="12.5703125" bestFit="1" customWidth="1"/>
  </cols>
  <sheetData>
    <row r="1" spans="1:5" x14ac:dyDescent="0.25">
      <c r="A1" t="s">
        <v>56</v>
      </c>
      <c r="B1" t="s">
        <v>57</v>
      </c>
      <c r="C1" t="s">
        <v>25</v>
      </c>
      <c r="D1" t="s">
        <v>21</v>
      </c>
      <c r="E1" t="s">
        <v>64</v>
      </c>
    </row>
    <row r="2" spans="1:5" x14ac:dyDescent="0.25">
      <c r="A2" t="s">
        <v>71</v>
      </c>
      <c r="B2" t="s">
        <v>67</v>
      </c>
      <c r="C2" t="s">
        <v>45</v>
      </c>
      <c r="D2" t="s">
        <v>22</v>
      </c>
      <c r="E2" s="10">
        <v>44584</v>
      </c>
    </row>
    <row r="3" spans="1:5" x14ac:dyDescent="0.25">
      <c r="A3" t="s">
        <v>71</v>
      </c>
      <c r="B3" t="s">
        <v>66</v>
      </c>
      <c r="C3" t="s">
        <v>44</v>
      </c>
      <c r="D3" t="s">
        <v>24</v>
      </c>
      <c r="E3" s="10">
        <v>17442</v>
      </c>
    </row>
    <row r="4" spans="1:5" x14ac:dyDescent="0.25">
      <c r="A4" t="s">
        <v>71</v>
      </c>
      <c r="B4" t="s">
        <v>67</v>
      </c>
      <c r="C4" t="s">
        <v>41</v>
      </c>
      <c r="D4" t="s">
        <v>22</v>
      </c>
      <c r="E4" s="10">
        <f>49675+77000</f>
        <v>126675</v>
      </c>
    </row>
    <row r="5" spans="1:5" x14ac:dyDescent="0.25">
      <c r="A5" t="s">
        <v>71</v>
      </c>
      <c r="B5" t="s">
        <v>67</v>
      </c>
      <c r="C5" t="s">
        <v>39</v>
      </c>
      <c r="D5" t="s">
        <v>24</v>
      </c>
      <c r="E5" s="10">
        <v>34731</v>
      </c>
    </row>
    <row r="6" spans="1:5" x14ac:dyDescent="0.25">
      <c r="A6" t="s">
        <v>73</v>
      </c>
      <c r="B6" t="s">
        <v>69</v>
      </c>
      <c r="C6" t="s">
        <v>41</v>
      </c>
      <c r="D6" t="s">
        <v>23</v>
      </c>
      <c r="E6" s="10">
        <v>5241</v>
      </c>
    </row>
    <row r="7" spans="1:5" x14ac:dyDescent="0.25">
      <c r="A7" t="s">
        <v>73</v>
      </c>
      <c r="B7" t="s">
        <v>69</v>
      </c>
      <c r="C7" t="s">
        <v>43</v>
      </c>
      <c r="D7" t="s">
        <v>22</v>
      </c>
      <c r="E7" s="10">
        <v>17883</v>
      </c>
    </row>
    <row r="8" spans="1:5" x14ac:dyDescent="0.25">
      <c r="A8" t="s">
        <v>73</v>
      </c>
      <c r="B8" t="s">
        <v>69</v>
      </c>
      <c r="C8" t="s">
        <v>45</v>
      </c>
      <c r="D8" t="s">
        <v>23</v>
      </c>
      <c r="E8" s="10">
        <v>17925</v>
      </c>
    </row>
    <row r="9" spans="1:5" x14ac:dyDescent="0.25">
      <c r="A9" t="s">
        <v>73</v>
      </c>
      <c r="B9" t="s">
        <v>69</v>
      </c>
      <c r="C9" t="s">
        <v>44</v>
      </c>
      <c r="D9" t="s">
        <v>22</v>
      </c>
      <c r="E9" s="10">
        <v>17133</v>
      </c>
    </row>
    <row r="10" spans="1:5" x14ac:dyDescent="0.25">
      <c r="A10" t="s">
        <v>72</v>
      </c>
      <c r="B10" t="s">
        <v>68</v>
      </c>
      <c r="C10" t="s">
        <v>43</v>
      </c>
      <c r="D10" t="s">
        <v>22</v>
      </c>
      <c r="E10" s="10">
        <v>27502</v>
      </c>
    </row>
    <row r="11" spans="1:5" x14ac:dyDescent="0.25">
      <c r="A11" t="s">
        <v>72</v>
      </c>
      <c r="B11" t="s">
        <v>68</v>
      </c>
      <c r="C11" t="s">
        <v>40</v>
      </c>
      <c r="D11" t="s">
        <v>24</v>
      </c>
      <c r="E11" s="10">
        <v>34286</v>
      </c>
    </row>
    <row r="12" spans="1:5" x14ac:dyDescent="0.25">
      <c r="A12" t="s">
        <v>72</v>
      </c>
      <c r="B12" t="s">
        <v>68</v>
      </c>
      <c r="C12" t="s">
        <v>45</v>
      </c>
      <c r="D12" t="s">
        <v>22</v>
      </c>
      <c r="E12" s="10">
        <v>2752</v>
      </c>
    </row>
    <row r="13" spans="1:5" x14ac:dyDescent="0.25">
      <c r="A13" t="s">
        <v>72</v>
      </c>
      <c r="B13" t="s">
        <v>68</v>
      </c>
      <c r="C13" t="s">
        <v>45</v>
      </c>
      <c r="D13" t="s">
        <v>24</v>
      </c>
      <c r="E13" s="10">
        <v>15155</v>
      </c>
    </row>
    <row r="14" spans="1:5" x14ac:dyDescent="0.25">
      <c r="A14" t="s">
        <v>100</v>
      </c>
      <c r="B14" t="s">
        <v>67</v>
      </c>
      <c r="C14" t="s">
        <v>45</v>
      </c>
      <c r="D14" t="s">
        <v>22</v>
      </c>
      <c r="E14" s="10">
        <v>31654</v>
      </c>
    </row>
    <row r="15" spans="1:5" x14ac:dyDescent="0.25">
      <c r="A15" t="s">
        <v>100</v>
      </c>
      <c r="B15" t="s">
        <v>66</v>
      </c>
      <c r="C15" t="s">
        <v>39</v>
      </c>
      <c r="D15" t="s">
        <v>23</v>
      </c>
      <c r="E15" s="10">
        <v>28700</v>
      </c>
    </row>
    <row r="16" spans="1:5" x14ac:dyDescent="0.25">
      <c r="A16" t="s">
        <v>100</v>
      </c>
      <c r="B16" t="s">
        <v>67</v>
      </c>
      <c r="C16" t="s">
        <v>44</v>
      </c>
      <c r="D16" t="s">
        <v>22</v>
      </c>
      <c r="E16" s="10">
        <v>37117</v>
      </c>
    </row>
    <row r="17" spans="1:5" x14ac:dyDescent="0.25">
      <c r="A17" t="s">
        <v>100</v>
      </c>
      <c r="B17" t="s">
        <v>67</v>
      </c>
      <c r="C17" t="s">
        <v>45</v>
      </c>
      <c r="D17" t="s">
        <v>23</v>
      </c>
      <c r="E17" s="10">
        <v>26870</v>
      </c>
    </row>
    <row r="18" spans="1:5" x14ac:dyDescent="0.25">
      <c r="E18" s="10">
        <f>SUM(SupportCostsYr1[Cost])</f>
        <v>485650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92599-3A2E-4055-9BC0-E34736E4AF03}">
  <dimension ref="A1:J8"/>
  <sheetViews>
    <sheetView workbookViewId="0">
      <selection activeCell="G8" sqref="G8:H8"/>
    </sheetView>
  </sheetViews>
  <sheetFormatPr defaultRowHeight="15" x14ac:dyDescent="0.25"/>
  <cols>
    <col min="1" max="1" width="13.5703125" bestFit="1" customWidth="1"/>
    <col min="2" max="2" width="19.140625" customWidth="1"/>
    <col min="3" max="3" width="9.5703125" bestFit="1" customWidth="1"/>
    <col min="4" max="4" width="17" bestFit="1" customWidth="1"/>
    <col min="5" max="5" width="17" customWidth="1"/>
    <col min="6" max="6" width="12.5703125" bestFit="1" customWidth="1"/>
    <col min="7" max="8" width="11.42578125" customWidth="1"/>
    <col min="9" max="9" width="24.140625" bestFit="1" customWidth="1"/>
    <col min="10" max="10" width="21.7109375" bestFit="1" customWidth="1"/>
  </cols>
  <sheetData>
    <row r="1" spans="1:10" x14ac:dyDescent="0.25">
      <c r="A1" t="s">
        <v>56</v>
      </c>
      <c r="B1" t="s">
        <v>57</v>
      </c>
      <c r="C1" t="s">
        <v>25</v>
      </c>
      <c r="D1" t="s">
        <v>21</v>
      </c>
      <c r="E1" t="s">
        <v>130</v>
      </c>
      <c r="F1" t="s">
        <v>64</v>
      </c>
      <c r="G1" t="s">
        <v>75</v>
      </c>
      <c r="H1" t="s">
        <v>76</v>
      </c>
      <c r="I1" t="s">
        <v>103</v>
      </c>
      <c r="J1" t="s">
        <v>104</v>
      </c>
    </row>
    <row r="2" spans="1:10" x14ac:dyDescent="0.25">
      <c r="A2" t="s">
        <v>74</v>
      </c>
      <c r="B2" t="s">
        <v>70</v>
      </c>
      <c r="C2" t="s">
        <v>39</v>
      </c>
      <c r="D2" t="s">
        <v>22</v>
      </c>
      <c r="E2">
        <v>2021</v>
      </c>
      <c r="F2" s="10">
        <v>294949</v>
      </c>
      <c r="G2" s="9">
        <v>0</v>
      </c>
      <c r="H2" s="9">
        <f>1-ConsultantYr1[[#This Row],[FHWA %]]</f>
        <v>1</v>
      </c>
      <c r="I2" s="11">
        <f>ConsultantYr1[[#This Row],[Cost]]*ConsultantYr1[[#This Row],[FHWA %]]</f>
        <v>0</v>
      </c>
      <c r="J2" s="11">
        <f>ConsultantYr1[[#This Row],[Cost]]*ConsultantYr1[[#This Row],[FTA %]]</f>
        <v>294949</v>
      </c>
    </row>
    <row r="3" spans="1:10" x14ac:dyDescent="0.25">
      <c r="A3" t="s">
        <v>74</v>
      </c>
      <c r="B3" t="s">
        <v>70</v>
      </c>
      <c r="C3" t="s">
        <v>45</v>
      </c>
      <c r="D3" t="s">
        <v>23</v>
      </c>
      <c r="E3">
        <v>2021</v>
      </c>
      <c r="F3" s="10">
        <v>264162</v>
      </c>
      <c r="G3" s="9">
        <v>1</v>
      </c>
      <c r="H3" s="9">
        <f>1-ConsultantYr1[[#This Row],[FHWA %]]</f>
        <v>0</v>
      </c>
      <c r="I3" s="11">
        <f>ConsultantYr1[[#This Row],[Cost]]*ConsultantYr1[[#This Row],[FHWA %]]</f>
        <v>264162</v>
      </c>
      <c r="J3" s="11">
        <f>ConsultantYr1[[#This Row],[Cost]]*ConsultantYr1[[#This Row],[FTA %]]</f>
        <v>0</v>
      </c>
    </row>
    <row r="4" spans="1:10" x14ac:dyDescent="0.25">
      <c r="A4" t="s">
        <v>74</v>
      </c>
      <c r="B4" t="s">
        <v>70</v>
      </c>
      <c r="C4" t="s">
        <v>44</v>
      </c>
      <c r="D4" t="s">
        <v>24</v>
      </c>
      <c r="E4">
        <v>2021</v>
      </c>
      <c r="F4" s="10">
        <v>168458</v>
      </c>
      <c r="G4" s="9">
        <v>1</v>
      </c>
      <c r="H4" s="9">
        <f>1-ConsultantYr1[[#This Row],[FHWA %]]</f>
        <v>0</v>
      </c>
      <c r="I4" s="11">
        <f>ConsultantYr1[[#This Row],[Cost]]*ConsultantYr1[[#This Row],[FHWA %]]</f>
        <v>168458</v>
      </c>
      <c r="J4" s="11">
        <f>ConsultantYr1[[#This Row],[Cost]]*ConsultantYr1[[#This Row],[FTA %]]</f>
        <v>0</v>
      </c>
    </row>
    <row r="5" spans="1:10" x14ac:dyDescent="0.25">
      <c r="A5" t="s">
        <v>74</v>
      </c>
      <c r="B5" t="s">
        <v>70</v>
      </c>
      <c r="C5" t="s">
        <v>45</v>
      </c>
      <c r="D5" t="s">
        <v>22</v>
      </c>
      <c r="E5">
        <v>2021</v>
      </c>
      <c r="F5" s="10">
        <v>263379</v>
      </c>
      <c r="G5" s="9">
        <v>0.5</v>
      </c>
      <c r="H5" s="9">
        <f>1-ConsultantYr1[[#This Row],[FHWA %]]</f>
        <v>0.5</v>
      </c>
      <c r="I5" s="11">
        <f>ConsultantYr1[[#This Row],[Cost]]*ConsultantYr1[[#This Row],[FHWA %]]</f>
        <v>131689.5</v>
      </c>
      <c r="J5" s="11">
        <f>ConsultantYr1[[#This Row],[Cost]]*ConsultantYr1[[#This Row],[FTA %]]</f>
        <v>131689.5</v>
      </c>
    </row>
    <row r="6" spans="1:10" x14ac:dyDescent="0.25">
      <c r="A6" t="s">
        <v>74</v>
      </c>
      <c r="B6" t="s">
        <v>70</v>
      </c>
      <c r="C6" t="s">
        <v>40</v>
      </c>
      <c r="D6" t="s">
        <v>23</v>
      </c>
      <c r="E6">
        <v>2021</v>
      </c>
      <c r="F6" s="10">
        <v>253775</v>
      </c>
      <c r="G6" s="9">
        <v>1</v>
      </c>
      <c r="H6" s="9">
        <f>1-ConsultantYr1[[#This Row],[FHWA %]]</f>
        <v>0</v>
      </c>
      <c r="I6" s="11">
        <f>ConsultantYr1[[#This Row],[Cost]]*ConsultantYr1[[#This Row],[FHWA %]]</f>
        <v>253775</v>
      </c>
      <c r="J6" s="11">
        <f>ConsultantYr1[[#This Row],[Cost]]*ConsultantYr1[[#This Row],[FTA %]]</f>
        <v>0</v>
      </c>
    </row>
    <row r="7" spans="1:10" x14ac:dyDescent="0.25">
      <c r="A7" t="s">
        <v>74</v>
      </c>
      <c r="B7" t="s">
        <v>70</v>
      </c>
      <c r="C7" t="s">
        <v>41</v>
      </c>
      <c r="D7" t="s">
        <v>24</v>
      </c>
      <c r="E7">
        <v>2021</v>
      </c>
      <c r="F7" s="10">
        <v>35116</v>
      </c>
      <c r="G7" s="9">
        <v>1</v>
      </c>
      <c r="H7" s="9">
        <f>1-ConsultantYr1[[#This Row],[FHWA %]]</f>
        <v>0</v>
      </c>
      <c r="I7" s="11">
        <f>ConsultantYr1[[#This Row],[Cost]]*ConsultantYr1[[#This Row],[FHWA %]]</f>
        <v>35116</v>
      </c>
      <c r="J7" s="11">
        <f>ConsultantYr1[[#This Row],[Cost]]*ConsultantYr1[[#This Row],[FTA %]]</f>
        <v>0</v>
      </c>
    </row>
    <row r="8" spans="1:10" x14ac:dyDescent="0.25">
      <c r="F8" s="24">
        <f>SUM(ConsultantYr1[Cost])</f>
        <v>1279839</v>
      </c>
      <c r="G8" s="24"/>
      <c r="H8" s="24"/>
      <c r="I8" s="24">
        <f>SUM(ConsultantYr1[FHWA_Consultant Cost])</f>
        <v>853200.5</v>
      </c>
      <c r="J8" s="24">
        <f>SUM(ConsultantYr1[FTA_Consultant Cost])</f>
        <v>426638.5</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AD7B1-0EFD-4BDA-954D-3999C2101E03}">
  <dimension ref="A1:K24"/>
  <sheetViews>
    <sheetView workbookViewId="0">
      <selection activeCell="K23" activeCellId="1" sqref="I23 K23"/>
    </sheetView>
  </sheetViews>
  <sheetFormatPr defaultRowHeight="15" x14ac:dyDescent="0.25"/>
  <cols>
    <col min="2" max="2" width="17" bestFit="1" customWidth="1"/>
    <col min="3" max="3" width="35.28515625" bestFit="1" customWidth="1"/>
    <col min="4" max="4" width="11.7109375" bestFit="1" customWidth="1"/>
    <col min="5" max="5" width="17.42578125" bestFit="1" customWidth="1"/>
    <col min="6" max="6" width="15.5703125" bestFit="1" customWidth="1"/>
    <col min="7" max="7" width="17.28515625" bestFit="1" customWidth="1"/>
    <col min="8" max="8" width="23.42578125" bestFit="1" customWidth="1"/>
    <col min="9" max="9" width="22" bestFit="1" customWidth="1"/>
    <col min="10" max="10" width="20.42578125" bestFit="1" customWidth="1"/>
    <col min="11" max="11" width="15.85546875" customWidth="1"/>
  </cols>
  <sheetData>
    <row r="1" spans="1:11" x14ac:dyDescent="0.25">
      <c r="A1" t="s">
        <v>38</v>
      </c>
      <c r="B1" t="s">
        <v>21</v>
      </c>
      <c r="C1" t="s">
        <v>25</v>
      </c>
      <c r="D1" t="s">
        <v>77</v>
      </c>
      <c r="E1" t="s">
        <v>78</v>
      </c>
      <c r="F1" t="s">
        <v>79</v>
      </c>
      <c r="G1" t="s">
        <v>80</v>
      </c>
      <c r="H1" t="s">
        <v>101</v>
      </c>
      <c r="I1" t="s">
        <v>102</v>
      </c>
      <c r="J1" t="s">
        <v>109</v>
      </c>
      <c r="K1" t="s">
        <v>108</v>
      </c>
    </row>
    <row r="2" spans="1:11" x14ac:dyDescent="0.25">
      <c r="A2" t="s">
        <v>39</v>
      </c>
      <c r="B2" t="s">
        <v>22</v>
      </c>
      <c r="C2" t="s">
        <v>31</v>
      </c>
      <c r="D2" s="10">
        <f>SUMIFS(StaffAllocYR1[Staff Cost],StaffAllocYR1[Project],Budget[[#This Row],[PIN]],StaffAllocYR1[Agency],Budget[[#This Row],[Agency]])</f>
        <v>84941</v>
      </c>
      <c r="E2" s="10">
        <f>SUMIFS(DirectExpensesYR1[Cost],DirectExpensesYR1[Project],Budget[[#This Row],[PIN]],DirectExpensesYR1[Agency],Budget[[#This Row],[Agency]])</f>
        <v>55444</v>
      </c>
      <c r="F2" s="10">
        <f>SUMIFS(SupportCostsYr1[Cost],SupportCostsYr1[Project],Budget[[#This Row],[PIN]],SupportCostsYr1[Agency],Budget[[#This Row],[Agency]])</f>
        <v>0</v>
      </c>
      <c r="G2" s="10">
        <f>SUMIFS(ConsultantYr1[Cost],ConsultantYr1[Project],Budget[[#This Row],[PIN]],ConsultantYr1[Agency],Budget[[#This Row],[Agency]])</f>
        <v>294949</v>
      </c>
      <c r="H2" s="10">
        <f>SUMIFS(ConsultantYr1[FHWA_Consultant Cost],ConsultantYr1[Project],Budget[[#This Row],[PIN]],ConsultantYr1[Agency],Budget[[#This Row],[Agency]])</f>
        <v>0</v>
      </c>
      <c r="I2" s="10">
        <f>SUMIFS(ConsultantYr1[FTA_Consultant Cost],ConsultantYr1[Project],Budget[[#This Row],[PIN]],ConsultantYr1[Agency],Budget[[#This Row],[Agency]])</f>
        <v>294949</v>
      </c>
      <c r="J2" s="8" cm="1">
        <f t="array" ref="J2">SplitYr1[[FHWA]:[FHWA]]*SUM(Budget[[#This Row],[Staff Cost]:[Support Costs]])</f>
        <v>93592.08109444406</v>
      </c>
      <c r="K2" s="10" cm="1">
        <f t="array" ref="K2">SplitYr1[[FTA]:[FTA]]*SUM(Budget[[#This Row],[Staff Cost]:[Support Costs]])</f>
        <v>46792.918905555933</v>
      </c>
    </row>
    <row r="3" spans="1:11" x14ac:dyDescent="0.25">
      <c r="A3" t="s">
        <v>40</v>
      </c>
      <c r="B3" t="s">
        <v>22</v>
      </c>
      <c r="C3" t="s">
        <v>32</v>
      </c>
      <c r="D3" s="10">
        <f>SUMIFS(StaffAllocYR1[Staff Cost],StaffAllocYR1[Project],Budget[[#This Row],[PIN]],StaffAllocYR1[Agency],Budget[[#This Row],[Agency]])</f>
        <v>22360</v>
      </c>
      <c r="E3" s="10">
        <f>SUMIFS(DirectExpensesYR1[Cost],DirectExpensesYR1[Project],Budget[[#This Row],[PIN]],DirectExpensesYR1[Agency],Budget[[#This Row],[Agency]])</f>
        <v>57610</v>
      </c>
      <c r="F3" s="10">
        <f>SUMIFS(SupportCostsYr1[Cost],SupportCostsYr1[Project],Budget[[#This Row],[PIN]],SupportCostsYr1[Agency],Budget[[#This Row],[Agency]])</f>
        <v>0</v>
      </c>
      <c r="G3" s="10">
        <f>SUMIFS(ConsultantYr1[Cost],ConsultantYr1[Project],Budget[[#This Row],[PIN]],ConsultantYr1[Agency],Budget[[#This Row],[Agency]])</f>
        <v>0</v>
      </c>
      <c r="H3" s="10">
        <f>SUMIFS(ConsultantYr1[FHWA_Consultant Cost],ConsultantYr1[Project],Budget[[#This Row],[PIN]],ConsultantYr1[Agency],Budget[[#This Row],[Agency]])</f>
        <v>0</v>
      </c>
      <c r="I3" s="10">
        <f>SUMIFS(ConsultantYr1[FTA_Consultant Cost],ConsultantYr1[Project],Budget[[#This Row],[PIN]],ConsultantYr1[Agency],Budget[[#This Row],[Agency]])</f>
        <v>0</v>
      </c>
      <c r="J3" s="8" cm="1">
        <f t="array" ref="J3">SplitYr1[[FHWA]:[FHWA]]*SUM(Budget[[#This Row],[Staff Cost]:[Support Costs]])</f>
        <v>53314.518824110062</v>
      </c>
      <c r="K3" s="10" cm="1">
        <f t="array" ref="K3">SplitYr1[[FTA]:[FTA]]*SUM(Budget[[#This Row],[Staff Cost]:[Support Costs]])</f>
        <v>26655.48117588993</v>
      </c>
    </row>
    <row r="4" spans="1:11" x14ac:dyDescent="0.25">
      <c r="A4" t="s">
        <v>41</v>
      </c>
      <c r="B4" t="s">
        <v>22</v>
      </c>
      <c r="C4" t="s">
        <v>33</v>
      </c>
      <c r="D4" s="10">
        <f>SUMIFS(StaffAllocYR1[Staff Cost],StaffAllocYR1[Project],Budget[[#This Row],[PIN]],StaffAllocYR1[Agency],Budget[[#This Row],[Agency]])</f>
        <v>238770</v>
      </c>
      <c r="E4" s="10">
        <f>SUMIFS(DirectExpensesYR1[Cost],DirectExpensesYR1[Project],Budget[[#This Row],[PIN]],DirectExpensesYR1[Agency],Budget[[#This Row],[Agency]])</f>
        <v>6797</v>
      </c>
      <c r="F4" s="10">
        <f>SUMIFS(SupportCostsYr1[Cost],SupportCostsYr1[Project],Budget[[#This Row],[PIN]],SupportCostsYr1[Agency],Budget[[#This Row],[Agency]])</f>
        <v>126675</v>
      </c>
      <c r="G4" s="10">
        <f>SUMIFS(ConsultantYr1[Cost],ConsultantYr1[Project],Budget[[#This Row],[PIN]],ConsultantYr1[Agency],Budget[[#This Row],[Agency]])</f>
        <v>0</v>
      </c>
      <c r="H4" s="10">
        <f>SUMIFS(ConsultantYr1[FHWA_Consultant Cost],ConsultantYr1[Project],Budget[[#This Row],[PIN]],ConsultantYr1[Agency],Budget[[#This Row],[Agency]])</f>
        <v>0</v>
      </c>
      <c r="I4" s="10">
        <f>SUMIFS(ConsultantYr1[FTA_Consultant Cost],ConsultantYr1[Project],Budget[[#This Row],[PIN]],ConsultantYr1[Agency],Budget[[#This Row],[Agency]])</f>
        <v>0</v>
      </c>
      <c r="J4" s="8" cm="1">
        <f t="array" ref="J4">SplitYr1[[FHWA]:[FHWA]]*SUM(Budget[[#This Row],[Staff Cost]:[Support Costs]])</f>
        <v>248166.85152087506</v>
      </c>
      <c r="K4" s="10" cm="1">
        <f t="array" ref="K4">SplitYr1[[FTA]:[FTA]]*SUM(Budget[[#This Row],[Staff Cost]:[Support Costs]])</f>
        <v>124075.14847912492</v>
      </c>
    </row>
    <row r="5" spans="1:11" x14ac:dyDescent="0.25">
      <c r="A5" t="s">
        <v>42</v>
      </c>
      <c r="B5" t="s">
        <v>22</v>
      </c>
      <c r="C5" t="s">
        <v>34</v>
      </c>
      <c r="D5" s="10">
        <f>SUMIFS(StaffAllocYR1[Staff Cost],StaffAllocYR1[Project],Budget[[#This Row],[PIN]],StaffAllocYR1[Agency],Budget[[#This Row],[Agency]])</f>
        <v>9912</v>
      </c>
      <c r="E5" s="10">
        <f>SUMIFS(DirectExpensesYR1[Cost],DirectExpensesYR1[Project],Budget[[#This Row],[PIN]],DirectExpensesYR1[Agency],Budget[[#This Row],[Agency]])</f>
        <v>73066</v>
      </c>
      <c r="F5" s="10">
        <f>SUMIFS(SupportCostsYr1[Cost],SupportCostsYr1[Project],Budget[[#This Row],[PIN]],SupportCostsYr1[Agency],Budget[[#This Row],[Agency]])</f>
        <v>0</v>
      </c>
      <c r="G5" s="10">
        <f>SUMIFS(ConsultantYr1[Cost],ConsultantYr1[Project],Budget[[#This Row],[PIN]],ConsultantYr1[Agency],Budget[[#This Row],[Agency]])</f>
        <v>0</v>
      </c>
      <c r="H5" s="10">
        <f>SUMIFS(ConsultantYr1[FHWA_Consultant Cost],ConsultantYr1[Project],Budget[[#This Row],[PIN]],ConsultantYr1[Agency],Budget[[#This Row],[Agency]])</f>
        <v>0</v>
      </c>
      <c r="I5" s="10">
        <f>SUMIFS(ConsultantYr1[FTA_Consultant Cost],ConsultantYr1[Project],Budget[[#This Row],[PIN]],ConsultantYr1[Agency],Budget[[#This Row],[Agency]])</f>
        <v>0</v>
      </c>
      <c r="J5" s="8" cm="1">
        <f t="array" ref="J5">SplitYr1[[FHWA]:[FHWA]]*SUM(Budget[[#This Row],[Staff Cost]:[Support Costs]])</f>
        <v>55319.896748618296</v>
      </c>
      <c r="K5" s="10" cm="1">
        <f t="array" ref="K5">SplitYr1[[FTA]:[FTA]]*SUM(Budget[[#This Row],[Staff Cost]:[Support Costs]])</f>
        <v>27658.103251381701</v>
      </c>
    </row>
    <row r="6" spans="1:11" x14ac:dyDescent="0.25">
      <c r="A6" t="s">
        <v>43</v>
      </c>
      <c r="B6" t="s">
        <v>22</v>
      </c>
      <c r="C6" t="s">
        <v>158</v>
      </c>
      <c r="D6" s="10">
        <f>SUMIFS(StaffAllocYR1[Staff Cost],StaffAllocYR1[Project],Budget[[#This Row],[PIN]],StaffAllocYR1[Agency],Budget[[#This Row],[Agency]])</f>
        <v>0</v>
      </c>
      <c r="E6" s="10">
        <f>SUMIFS(DirectExpensesYR1[Cost],DirectExpensesYR1[Project],Budget[[#This Row],[PIN]],DirectExpensesYR1[Agency],Budget[[#This Row],[Agency]])</f>
        <v>49549</v>
      </c>
      <c r="F6" s="10">
        <f>SUMIFS(SupportCostsYr1[Cost],SupportCostsYr1[Project],Budget[[#This Row],[PIN]],SupportCostsYr1[Agency],Budget[[#This Row],[Agency]])</f>
        <v>45385</v>
      </c>
      <c r="G6" s="10">
        <f>SUMIFS(ConsultantYr1[Cost],ConsultantYr1[Project],Budget[[#This Row],[PIN]],ConsultantYr1[Agency],Budget[[#This Row],[Agency]])</f>
        <v>0</v>
      </c>
      <c r="H6" s="10">
        <f>SUMIFS(ConsultantYr1[FHWA_Consultant Cost],ConsultantYr1[Project],Budget[[#This Row],[PIN]],ConsultantYr1[Agency],Budget[[#This Row],[Agency]])</f>
        <v>0</v>
      </c>
      <c r="I6" s="10">
        <f>SUMIFS(ConsultantYr1[FTA_Consultant Cost],ConsultantYr1[Project],Budget[[#This Row],[PIN]],ConsultantYr1[Agency],Budget[[#This Row],[Agency]])</f>
        <v>0</v>
      </c>
      <c r="J6" s="8" cm="1">
        <f t="array" ref="J6">SplitYr1[[FHWA]:[FHWA]]*SUM(Budget[[#This Row],[Staff Cost]:[Support Costs]])</f>
        <v>63290.740653345812</v>
      </c>
      <c r="K6" s="10" cm="1">
        <f t="array" ref="K6">SplitYr1[[FTA]:[FTA]]*SUM(Budget[[#This Row],[Staff Cost]:[Support Costs]])</f>
        <v>31643.25934665418</v>
      </c>
    </row>
    <row r="7" spans="1:11" x14ac:dyDescent="0.25">
      <c r="A7" t="s">
        <v>44</v>
      </c>
      <c r="B7" t="s">
        <v>22</v>
      </c>
      <c r="C7" t="s">
        <v>36</v>
      </c>
      <c r="D7" s="10">
        <f>SUMIFS(StaffAllocYR1[Staff Cost],StaffAllocYR1[Project],Budget[[#This Row],[PIN]],StaffAllocYR1[Agency],Budget[[#This Row],[Agency]])</f>
        <v>33866</v>
      </c>
      <c r="E7" s="10">
        <f>SUMIFS(DirectExpensesYR1[Cost],DirectExpensesYR1[Project],Budget[[#This Row],[PIN]],DirectExpensesYR1[Agency],Budget[[#This Row],[Agency]])</f>
        <v>0</v>
      </c>
      <c r="F7" s="10">
        <f>SUMIFS(SupportCostsYr1[Cost],SupportCostsYr1[Project],Budget[[#This Row],[PIN]],SupportCostsYr1[Agency],Budget[[#This Row],[Agency]])</f>
        <v>54250</v>
      </c>
      <c r="G7" s="10">
        <f>SUMIFS(ConsultantYr1[Cost],ConsultantYr1[Project],Budget[[#This Row],[PIN]],ConsultantYr1[Agency],Budget[[#This Row],[Agency]])</f>
        <v>0</v>
      </c>
      <c r="H7" s="10">
        <f>SUMIFS(ConsultantYr1[FHWA_Consultant Cost],ConsultantYr1[Project],Budget[[#This Row],[PIN]],ConsultantYr1[Agency],Budget[[#This Row],[Agency]])</f>
        <v>0</v>
      </c>
      <c r="I7" s="10">
        <f>SUMIFS(ConsultantYr1[FTA_Consultant Cost],ConsultantYr1[Project],Budget[[#This Row],[PIN]],ConsultantYr1[Agency],Budget[[#This Row],[Agency]])</f>
        <v>0</v>
      </c>
      <c r="J7" s="8" cm="1">
        <f t="array" ref="J7">SplitYr1[[FHWA]:[FHWA]]*SUM(Budget[[#This Row],[Staff Cost]:[Support Costs]])</f>
        <v>58745.306248659275</v>
      </c>
      <c r="K7" s="10" cm="1">
        <f t="array" ref="K7">SplitYr1[[FTA]:[FTA]]*SUM(Budget[[#This Row],[Staff Cost]:[Support Costs]])</f>
        <v>29370.693751340717</v>
      </c>
    </row>
    <row r="8" spans="1:11" x14ac:dyDescent="0.25">
      <c r="A8" t="s">
        <v>45</v>
      </c>
      <c r="B8" t="s">
        <v>22</v>
      </c>
      <c r="C8" t="s">
        <v>37</v>
      </c>
      <c r="D8" s="10">
        <f>SUMIFS(StaffAllocYR1[Staff Cost],StaffAllocYR1[Project],Budget[[#This Row],[PIN]],StaffAllocYR1[Agency],Budget[[#This Row],[Agency]])</f>
        <v>45628</v>
      </c>
      <c r="E8" s="10">
        <f>SUMIFS(DirectExpensesYR1[Cost],DirectExpensesYR1[Project],Budget[[#This Row],[PIN]],DirectExpensesYR1[Agency],Budget[[#This Row],[Agency]])</f>
        <v>88316</v>
      </c>
      <c r="F8" s="10">
        <f>SUMIFS(SupportCostsYr1[Cost],SupportCostsYr1[Project],Budget[[#This Row],[PIN]],SupportCostsYr1[Agency],Budget[[#This Row],[Agency]])</f>
        <v>78990</v>
      </c>
      <c r="G8" s="10">
        <f>SUMIFS(ConsultantYr1[Cost],ConsultantYr1[Project],Budget[[#This Row],[PIN]],ConsultantYr1[Agency],Budget[[#This Row],[Agency]])</f>
        <v>263379</v>
      </c>
      <c r="H8" s="10">
        <f>SUMIFS(ConsultantYr1[FHWA_Consultant Cost],ConsultantYr1[Project],Budget[[#This Row],[PIN]],ConsultantYr1[Agency],Budget[[#This Row],[Agency]])</f>
        <v>131689.5</v>
      </c>
      <c r="I8" s="10">
        <f>SUMIFS(ConsultantYr1[FTA_Consultant Cost],ConsultantYr1[Project],Budget[[#This Row],[PIN]],ConsultantYr1[Agency],Budget[[#This Row],[Agency]])</f>
        <v>131689.5</v>
      </c>
      <c r="J8" s="8" cm="1">
        <f t="array" ref="J8">SplitYr1[[FHWA]:[FHWA]]*SUM(Budget[[#This Row],[Staff Cost]:[Support Costs]])</f>
        <v>141959.15657487873</v>
      </c>
      <c r="K8" s="10" cm="1">
        <f t="array" ref="K8">SplitYr1[[FTA]:[FTA]]*SUM(Budget[[#This Row],[Staff Cost]:[Support Costs]])</f>
        <v>70974.843425121246</v>
      </c>
    </row>
    <row r="9" spans="1:11" x14ac:dyDescent="0.25">
      <c r="A9" t="s">
        <v>39</v>
      </c>
      <c r="B9" t="s">
        <v>23</v>
      </c>
      <c r="C9" t="s">
        <v>31</v>
      </c>
      <c r="D9" s="10">
        <f>SUMIFS(StaffAllocYR1[Staff Cost],StaffAllocYR1[Project],Budget[[#This Row],[PIN]],StaffAllocYR1[Agency],Budget[[#This Row],[Agency]])</f>
        <v>0</v>
      </c>
      <c r="E9" s="10">
        <f>SUMIFS(DirectExpensesYR1[Cost],DirectExpensesYR1[Project],Budget[[#This Row],[PIN]],DirectExpensesYR1[Agency],Budget[[#This Row],[Agency]])</f>
        <v>0</v>
      </c>
      <c r="F9" s="10">
        <f>SUMIFS(SupportCostsYr1[Cost],SupportCostsYr1[Project],Budget[[#This Row],[PIN]],SupportCostsYr1[Agency],Budget[[#This Row],[Agency]])</f>
        <v>28700</v>
      </c>
      <c r="G9" s="10">
        <f>SUMIFS(ConsultantYr1[Cost],ConsultantYr1[Project],Budget[[#This Row],[PIN]],ConsultantYr1[Agency],Budget[[#This Row],[Agency]])</f>
        <v>0</v>
      </c>
      <c r="H9" s="10">
        <f>SUMIFS(ConsultantYr1[FHWA_Consultant Cost],ConsultantYr1[Project],Budget[[#This Row],[PIN]],ConsultantYr1[Agency],Budget[[#This Row],[Agency]])</f>
        <v>0</v>
      </c>
      <c r="I9" s="10">
        <f>SUMIFS(ConsultantYr1[FTA_Consultant Cost],ConsultantYr1[Project],Budget[[#This Row],[PIN]],ConsultantYr1[Agency],Budget[[#This Row],[Agency]])</f>
        <v>0</v>
      </c>
      <c r="J9" s="8" cm="1">
        <f t="array" ref="J9">SplitYr1[[FHWA]:[FHWA]]*SUM(Budget[[#This Row],[Staff Cost]:[Support Costs]])</f>
        <v>19133.758787694871</v>
      </c>
      <c r="K9" s="10" cm="1">
        <f t="array" ref="K9">SplitYr1[[FTA]:[FTA]]*SUM(Budget[[#This Row],[Staff Cost]:[Support Costs]])</f>
        <v>9566.2412123051272</v>
      </c>
    </row>
    <row r="10" spans="1:11" x14ac:dyDescent="0.25">
      <c r="A10" t="s">
        <v>40</v>
      </c>
      <c r="B10" t="s">
        <v>23</v>
      </c>
      <c r="C10" t="s">
        <v>32</v>
      </c>
      <c r="D10" s="10">
        <f>SUMIFS(StaffAllocYR1[Staff Cost],StaffAllocYR1[Project],Budget[[#This Row],[PIN]],StaffAllocYR1[Agency],Budget[[#This Row],[Agency]])</f>
        <v>0</v>
      </c>
      <c r="E10" s="10">
        <f>SUMIFS(DirectExpensesYR1[Cost],DirectExpensesYR1[Project],Budget[[#This Row],[PIN]],DirectExpensesYR1[Agency],Budget[[#This Row],[Agency]])</f>
        <v>0</v>
      </c>
      <c r="F10" s="10">
        <f>SUMIFS(SupportCostsYr1[Cost],SupportCostsYr1[Project],Budget[[#This Row],[PIN]],SupportCostsYr1[Agency],Budget[[#This Row],[Agency]])</f>
        <v>0</v>
      </c>
      <c r="G10" s="10">
        <f>SUMIFS(ConsultantYr1[Cost],ConsultantYr1[Project],Budget[[#This Row],[PIN]],ConsultantYr1[Agency],Budget[[#This Row],[Agency]])</f>
        <v>253775</v>
      </c>
      <c r="H10" s="10">
        <f>SUMIFS(ConsultantYr1[FHWA_Consultant Cost],ConsultantYr1[Project],Budget[[#This Row],[PIN]],ConsultantYr1[Agency],Budget[[#This Row],[Agency]])</f>
        <v>253775</v>
      </c>
      <c r="I10" s="10">
        <f>SUMIFS(ConsultantYr1[FTA_Consultant Cost],ConsultantYr1[Project],Budget[[#This Row],[PIN]],ConsultantYr1[Agency],Budget[[#This Row],[Agency]])</f>
        <v>0</v>
      </c>
      <c r="J10" s="8" cm="1">
        <f t="array" ref="J10">SplitYr1[[FHWA]:[FHWA]]*SUM(Budget[[#This Row],[Staff Cost]:[Support Costs]])</f>
        <v>0</v>
      </c>
      <c r="K10" s="10" cm="1">
        <f t="array" ref="K10">SplitYr1[[FTA]:[FTA]]*SUM(Budget[[#This Row],[Staff Cost]:[Support Costs]])</f>
        <v>0</v>
      </c>
    </row>
    <row r="11" spans="1:11" x14ac:dyDescent="0.25">
      <c r="A11" t="s">
        <v>41</v>
      </c>
      <c r="B11" t="s">
        <v>23</v>
      </c>
      <c r="C11" t="s">
        <v>33</v>
      </c>
      <c r="D11" s="10">
        <f>SUMIFS(StaffAllocYR1[Staff Cost],StaffAllocYR1[Project],Budget[[#This Row],[PIN]],StaffAllocYR1[Agency],Budget[[#This Row],[Agency]])</f>
        <v>92100</v>
      </c>
      <c r="E11" s="10">
        <f>SUMIFS(DirectExpensesYR1[Cost],DirectExpensesYR1[Project],Budget[[#This Row],[PIN]],DirectExpensesYR1[Agency],Budget[[#This Row],[Agency]])</f>
        <v>0</v>
      </c>
      <c r="F11" s="10">
        <f>SUMIFS(SupportCostsYr1[Cost],SupportCostsYr1[Project],Budget[[#This Row],[PIN]],SupportCostsYr1[Agency],Budget[[#This Row],[Agency]])</f>
        <v>5241</v>
      </c>
      <c r="G11" s="10">
        <f>SUMIFS(ConsultantYr1[Cost],ConsultantYr1[Project],Budget[[#This Row],[PIN]],ConsultantYr1[Agency],Budget[[#This Row],[Agency]])</f>
        <v>0</v>
      </c>
      <c r="H11" s="10">
        <f>SUMIFS(ConsultantYr1[FHWA_Consultant Cost],ConsultantYr1[Project],Budget[[#This Row],[PIN]],ConsultantYr1[Agency],Budget[[#This Row],[Agency]])</f>
        <v>0</v>
      </c>
      <c r="I11" s="10">
        <f>SUMIFS(ConsultantYr1[FTA_Consultant Cost],ConsultantYr1[Project],Budget[[#This Row],[PIN]],ConsultantYr1[Agency],Budget[[#This Row],[Agency]])</f>
        <v>0</v>
      </c>
      <c r="J11" s="8" cm="1">
        <f t="array" ref="J11">SplitYr1[[FHWA]:[FHWA]]*SUM(Budget[[#This Row],[Staff Cost]:[Support Costs]])</f>
        <v>64895.443001846914</v>
      </c>
      <c r="K11" s="10" cm="1">
        <f t="array" ref="K11">SplitYr1[[FTA]:[FTA]]*SUM(Budget[[#This Row],[Staff Cost]:[Support Costs]])</f>
        <v>32445.556998153079</v>
      </c>
    </row>
    <row r="12" spans="1:11" x14ac:dyDescent="0.25">
      <c r="A12" t="s">
        <v>42</v>
      </c>
      <c r="B12" t="s">
        <v>23</v>
      </c>
      <c r="C12" t="s">
        <v>34</v>
      </c>
      <c r="D12" s="10">
        <f>SUMIFS(StaffAllocYR1[Staff Cost],StaffAllocYR1[Project],Budget[[#This Row],[PIN]],StaffAllocYR1[Agency],Budget[[#This Row],[Agency]])</f>
        <v>0</v>
      </c>
      <c r="E12" s="10">
        <f>SUMIFS(DirectExpensesYR1[Cost],DirectExpensesYR1[Project],Budget[[#This Row],[PIN]],DirectExpensesYR1[Agency],Budget[[#This Row],[Agency]])</f>
        <v>0</v>
      </c>
      <c r="F12" s="10">
        <f>SUMIFS(SupportCostsYr1[Cost],SupportCostsYr1[Project],Budget[[#This Row],[PIN]],SupportCostsYr1[Agency],Budget[[#This Row],[Agency]])</f>
        <v>0</v>
      </c>
      <c r="G12" s="10">
        <f>SUMIFS(ConsultantYr1[Cost],ConsultantYr1[Project],Budget[[#This Row],[PIN]],ConsultantYr1[Agency],Budget[[#This Row],[Agency]])</f>
        <v>0</v>
      </c>
      <c r="H12" s="10">
        <f>SUMIFS(ConsultantYr1[FHWA_Consultant Cost],ConsultantYr1[Project],Budget[[#This Row],[PIN]],ConsultantYr1[Agency],Budget[[#This Row],[Agency]])</f>
        <v>0</v>
      </c>
      <c r="I12" s="10">
        <f>SUMIFS(ConsultantYr1[FTA_Consultant Cost],ConsultantYr1[Project],Budget[[#This Row],[PIN]],ConsultantYr1[Agency],Budget[[#This Row],[Agency]])</f>
        <v>0</v>
      </c>
      <c r="J12" s="8" cm="1">
        <f t="array" ref="J12">SplitYr1[[FHWA]:[FHWA]]*SUM(Budget[[#This Row],[Staff Cost]:[Support Costs]])</f>
        <v>0</v>
      </c>
      <c r="K12" s="10" cm="1">
        <f t="array" ref="K12">SplitYr1[[FTA]:[FTA]]*SUM(Budget[[#This Row],[Staff Cost]:[Support Costs]])</f>
        <v>0</v>
      </c>
    </row>
    <row r="13" spans="1:11" x14ac:dyDescent="0.25">
      <c r="A13" t="s">
        <v>43</v>
      </c>
      <c r="B13" t="s">
        <v>23</v>
      </c>
      <c r="C13" t="s">
        <v>158</v>
      </c>
      <c r="D13" s="10">
        <f>SUMIFS(StaffAllocYR1[Staff Cost],StaffAllocYR1[Project],Budget[[#This Row],[PIN]],StaffAllocYR1[Agency],Budget[[#This Row],[Agency]])</f>
        <v>0</v>
      </c>
      <c r="E13" s="10">
        <f>SUMIFS(DirectExpensesYR1[Cost],DirectExpensesYR1[Project],Budget[[#This Row],[PIN]],DirectExpensesYR1[Agency],Budget[[#This Row],[Agency]])</f>
        <v>47868</v>
      </c>
      <c r="F13" s="10">
        <f>SUMIFS(SupportCostsYr1[Cost],SupportCostsYr1[Project],Budget[[#This Row],[PIN]],SupportCostsYr1[Agency],Budget[[#This Row],[Agency]])</f>
        <v>0</v>
      </c>
      <c r="G13" s="10">
        <f>SUMIFS(ConsultantYr1[Cost],ConsultantYr1[Project],Budget[[#This Row],[PIN]],ConsultantYr1[Agency],Budget[[#This Row],[Agency]])</f>
        <v>0</v>
      </c>
      <c r="H13" s="10">
        <f>SUMIFS(ConsultantYr1[FHWA_Consultant Cost],ConsultantYr1[Project],Budget[[#This Row],[PIN]],ConsultantYr1[Agency],Budget[[#This Row],[Agency]])</f>
        <v>0</v>
      </c>
      <c r="I13" s="10">
        <f>SUMIFS(ConsultantYr1[FTA_Consultant Cost],ConsultantYr1[Project],Budget[[#This Row],[PIN]],ConsultantYr1[Agency],Budget[[#This Row],[Agency]])</f>
        <v>0</v>
      </c>
      <c r="J13" s="8" cm="1">
        <f t="array" ref="J13">SplitYr1[[FHWA]:[FHWA]]*SUM(Budget[[#This Row],[Staff Cost]:[Support Costs]])</f>
        <v>31912.709604507949</v>
      </c>
      <c r="K13" s="10" cm="1">
        <f t="array" ref="K13">SplitYr1[[FTA]:[FTA]]*SUM(Budget[[#This Row],[Staff Cost]:[Support Costs]])</f>
        <v>15955.290395492049</v>
      </c>
    </row>
    <row r="14" spans="1:11" x14ac:dyDescent="0.25">
      <c r="A14" t="s">
        <v>44</v>
      </c>
      <c r="B14" t="s">
        <v>23</v>
      </c>
      <c r="C14" t="s">
        <v>36</v>
      </c>
      <c r="D14" s="10">
        <f>SUMIFS(StaffAllocYR1[Staff Cost],StaffAllocYR1[Project],Budget[[#This Row],[PIN]],StaffAllocYR1[Agency],Budget[[#This Row],[Agency]])</f>
        <v>3684</v>
      </c>
      <c r="E14" s="10">
        <f>SUMIFS(DirectExpensesYR1[Cost],DirectExpensesYR1[Project],Budget[[#This Row],[PIN]],DirectExpensesYR1[Agency],Budget[[#This Row],[Agency]])</f>
        <v>0</v>
      </c>
      <c r="F14" s="10">
        <f>SUMIFS(SupportCostsYr1[Cost],SupportCostsYr1[Project],Budget[[#This Row],[PIN]],SupportCostsYr1[Agency],Budget[[#This Row],[Agency]])</f>
        <v>0</v>
      </c>
      <c r="G14" s="10">
        <f>SUMIFS(ConsultantYr1[Cost],ConsultantYr1[Project],Budget[[#This Row],[PIN]],ConsultantYr1[Agency],Budget[[#This Row],[Agency]])</f>
        <v>0</v>
      </c>
      <c r="H14" s="10">
        <f>SUMIFS(ConsultantYr1[FHWA_Consultant Cost],ConsultantYr1[Project],Budget[[#This Row],[PIN]],ConsultantYr1[Agency],Budget[[#This Row],[Agency]])</f>
        <v>0</v>
      </c>
      <c r="I14" s="10">
        <f>SUMIFS(ConsultantYr1[FTA_Consultant Cost],ConsultantYr1[Project],Budget[[#This Row],[PIN]],ConsultantYr1[Agency],Budget[[#This Row],[Agency]])</f>
        <v>0</v>
      </c>
      <c r="J14" s="8" cm="1">
        <f t="array" ref="J14">SplitYr1[[FHWA]:[FHWA]]*SUM(Budget[[#This Row],[Staff Cost]:[Support Costs]])</f>
        <v>2456.0546123298923</v>
      </c>
      <c r="K14" s="10" cm="1">
        <f t="array" ref="K14">SplitYr1[[FTA]:[FTA]]*SUM(Budget[[#This Row],[Staff Cost]:[Support Costs]])</f>
        <v>1227.9453876701075</v>
      </c>
    </row>
    <row r="15" spans="1:11" x14ac:dyDescent="0.25">
      <c r="A15" t="s">
        <v>45</v>
      </c>
      <c r="B15" t="s">
        <v>23</v>
      </c>
      <c r="C15" t="s">
        <v>37</v>
      </c>
      <c r="D15" s="10">
        <f>SUMIFS(StaffAllocYR1[Staff Cost],StaffAllocYR1[Project],Budget[[#This Row],[PIN]],StaffAllocYR1[Agency],Budget[[#This Row],[Agency]])</f>
        <v>15336</v>
      </c>
      <c r="E15" s="10">
        <f>SUMIFS(DirectExpensesYR1[Cost],DirectExpensesYR1[Project],Budget[[#This Row],[PIN]],DirectExpensesYR1[Agency],Budget[[#This Row],[Agency]])</f>
        <v>61320</v>
      </c>
      <c r="F15" s="10">
        <f>SUMIFS(SupportCostsYr1[Cost],SupportCostsYr1[Project],Budget[[#This Row],[PIN]],SupportCostsYr1[Agency],Budget[[#This Row],[Agency]])</f>
        <v>44795</v>
      </c>
      <c r="G15" s="10">
        <f>SUMIFS(ConsultantYr1[Cost],ConsultantYr1[Project],Budget[[#This Row],[PIN]],ConsultantYr1[Agency],Budget[[#This Row],[Agency]])</f>
        <v>264162</v>
      </c>
      <c r="H15" s="10">
        <f>SUMIFS(ConsultantYr1[FHWA_Consultant Cost],ConsultantYr1[Project],Budget[[#This Row],[PIN]],ConsultantYr1[Agency],Budget[[#This Row],[Agency]])</f>
        <v>264162</v>
      </c>
      <c r="I15" s="10">
        <f>SUMIFS(ConsultantYr1[FTA_Consultant Cost],ConsultantYr1[Project],Budget[[#This Row],[PIN]],ConsultantYr1[Agency],Budget[[#This Row],[Agency]])</f>
        <v>0</v>
      </c>
      <c r="J15" s="8" cm="1">
        <f t="array" ref="J15">SplitYr1[[FHWA]:[FHWA]]*SUM(Budget[[#This Row],[Staff Cost]:[Support Costs]])</f>
        <v>80969.133746492327</v>
      </c>
      <c r="K15" s="10" cm="1">
        <f t="array" ref="K15">SplitYr1[[FTA]:[FTA]]*SUM(Budget[[#This Row],[Staff Cost]:[Support Costs]])</f>
        <v>40481.866253507666</v>
      </c>
    </row>
    <row r="16" spans="1:11" x14ac:dyDescent="0.25">
      <c r="A16" t="s">
        <v>39</v>
      </c>
      <c r="B16" t="s">
        <v>24</v>
      </c>
      <c r="C16" t="s">
        <v>31</v>
      </c>
      <c r="D16" s="10">
        <f>SUMIFS(StaffAllocYR1[Staff Cost],StaffAllocYR1[Project],Budget[[#This Row],[PIN]],StaffAllocYR1[Agency],Budget[[#This Row],[Agency]])</f>
        <v>0</v>
      </c>
      <c r="E16" s="10">
        <f>SUMIFS(DirectExpensesYR1[Cost],DirectExpensesYR1[Project],Budget[[#This Row],[PIN]],DirectExpensesYR1[Agency],Budget[[#This Row],[Agency]])</f>
        <v>0</v>
      </c>
      <c r="F16" s="10">
        <f>SUMIFS(SupportCostsYr1[Cost],SupportCostsYr1[Project],Budget[[#This Row],[PIN]],SupportCostsYr1[Agency],Budget[[#This Row],[Agency]])</f>
        <v>34731</v>
      </c>
      <c r="G16" s="10">
        <f>SUMIFS(ConsultantYr1[Cost],ConsultantYr1[Project],Budget[[#This Row],[PIN]],ConsultantYr1[Agency],Budget[[#This Row],[Agency]])</f>
        <v>0</v>
      </c>
      <c r="H16" s="10">
        <f>SUMIFS(ConsultantYr1[FHWA_Consultant Cost],ConsultantYr1[Project],Budget[[#This Row],[PIN]],ConsultantYr1[Agency],Budget[[#This Row],[Agency]])</f>
        <v>0</v>
      </c>
      <c r="I16" s="10">
        <f>SUMIFS(ConsultantYr1[FTA_Consultant Cost],ConsultantYr1[Project],Budget[[#This Row],[PIN]],ConsultantYr1[Agency],Budget[[#This Row],[Agency]])</f>
        <v>0</v>
      </c>
      <c r="J16" s="8" cm="1">
        <f t="array" ref="J16">SplitYr1[[FHWA]:[FHWA]]*SUM(Budget[[#This Row],[Staff Cost]:[Support Costs]])</f>
        <v>23154.514859074236</v>
      </c>
      <c r="K16" s="10" cm="1">
        <f t="array" ref="K16">SplitYr1[[FTA]:[FTA]]*SUM(Budget[[#This Row],[Staff Cost]:[Support Costs]])</f>
        <v>11576.485140925763</v>
      </c>
    </row>
    <row r="17" spans="1:11" x14ac:dyDescent="0.25">
      <c r="A17" t="s">
        <v>40</v>
      </c>
      <c r="B17" t="s">
        <v>24</v>
      </c>
      <c r="C17" t="s">
        <v>32</v>
      </c>
      <c r="D17" s="10">
        <f>SUMIFS(StaffAllocYR1[Staff Cost],StaffAllocYR1[Project],Budget[[#This Row],[PIN]],StaffAllocYR1[Agency],Budget[[#This Row],[Agency]])</f>
        <v>45562</v>
      </c>
      <c r="E17" s="10">
        <f>SUMIFS(DirectExpensesYR1[Cost],DirectExpensesYR1[Project],Budget[[#This Row],[PIN]],DirectExpensesYR1[Agency],Budget[[#This Row],[Agency]])</f>
        <v>0</v>
      </c>
      <c r="F17" s="10">
        <f>SUMIFS(SupportCostsYr1[Cost],SupportCostsYr1[Project],Budget[[#This Row],[PIN]],SupportCostsYr1[Agency],Budget[[#This Row],[Agency]])</f>
        <v>34286</v>
      </c>
      <c r="G17" s="10">
        <f>SUMIFS(ConsultantYr1[Cost],ConsultantYr1[Project],Budget[[#This Row],[PIN]],ConsultantYr1[Agency],Budget[[#This Row],[Agency]])</f>
        <v>0</v>
      </c>
      <c r="H17" s="10">
        <f>SUMIFS(ConsultantYr1[FHWA_Consultant Cost],ConsultantYr1[Project],Budget[[#This Row],[PIN]],ConsultantYr1[Agency],Budget[[#This Row],[Agency]])</f>
        <v>0</v>
      </c>
      <c r="I17" s="10">
        <f>SUMIFS(ConsultantYr1[FTA_Consultant Cost],ConsultantYr1[Project],Budget[[#This Row],[PIN]],ConsultantYr1[Agency],Budget[[#This Row],[Agency]])</f>
        <v>0</v>
      </c>
      <c r="J17" s="8" cm="1">
        <f t="array" ref="J17">SplitYr1[[FHWA]:[FHWA]]*SUM(Budget[[#This Row],[Staff Cost]:[Support Costs]])</f>
        <v>53233.183682225092</v>
      </c>
      <c r="K17" s="10" cm="1">
        <f t="array" ref="K17">SplitYr1[[FTA]:[FTA]]*SUM(Budget[[#This Row],[Staff Cost]:[Support Costs]])</f>
        <v>26614.816317774905</v>
      </c>
    </row>
    <row r="18" spans="1:11" x14ac:dyDescent="0.25">
      <c r="A18" t="s">
        <v>41</v>
      </c>
      <c r="B18" t="s">
        <v>24</v>
      </c>
      <c r="C18" t="s">
        <v>33</v>
      </c>
      <c r="D18" s="10">
        <f>SUMIFS(StaffAllocYR1[Staff Cost],StaffAllocYR1[Project],Budget[[#This Row],[PIN]],StaffAllocYR1[Agency],Budget[[#This Row],[Agency]])</f>
        <v>0</v>
      </c>
      <c r="E18" s="10">
        <f>SUMIFS(DirectExpensesYR1[Cost],DirectExpensesYR1[Project],Budget[[#This Row],[PIN]],DirectExpensesYR1[Agency],Budget[[#This Row],[Agency]])</f>
        <v>0</v>
      </c>
      <c r="F18" s="10">
        <f>SUMIFS(SupportCostsYr1[Cost],SupportCostsYr1[Project],Budget[[#This Row],[PIN]],SupportCostsYr1[Agency],Budget[[#This Row],[Agency]])</f>
        <v>0</v>
      </c>
      <c r="G18" s="10">
        <f>SUMIFS(ConsultantYr1[Cost],ConsultantYr1[Project],Budget[[#This Row],[PIN]],ConsultantYr1[Agency],Budget[[#This Row],[Agency]])</f>
        <v>35116</v>
      </c>
      <c r="H18" s="10">
        <f>SUMIFS(ConsultantYr1[FHWA_Consultant Cost],ConsultantYr1[Project],Budget[[#This Row],[PIN]],ConsultantYr1[Agency],Budget[[#This Row],[Agency]])</f>
        <v>35116</v>
      </c>
      <c r="I18" s="10">
        <f>SUMIFS(ConsultantYr1[FTA_Consultant Cost],ConsultantYr1[Project],Budget[[#This Row],[PIN]],ConsultantYr1[Agency],Budget[[#This Row],[Agency]])</f>
        <v>0</v>
      </c>
      <c r="J18" s="8" cm="1">
        <f t="array" ref="J18">SplitYr1[[FHWA]:[FHWA]]*SUM(Budget[[#This Row],[Staff Cost]:[Support Costs]])</f>
        <v>0</v>
      </c>
      <c r="K18" s="10" cm="1">
        <f t="array" ref="K18">SplitYr1[[FTA]:[FTA]]*SUM(Budget[[#This Row],[Staff Cost]:[Support Costs]])</f>
        <v>0</v>
      </c>
    </row>
    <row r="19" spans="1:11" x14ac:dyDescent="0.25">
      <c r="A19" t="s">
        <v>42</v>
      </c>
      <c r="B19" t="s">
        <v>24</v>
      </c>
      <c r="C19" t="s">
        <v>34</v>
      </c>
      <c r="D19" s="10">
        <f>SUMIFS(StaffAllocYR1[Staff Cost],StaffAllocYR1[Project],Budget[[#This Row],[PIN]],StaffAllocYR1[Agency],Budget[[#This Row],[Agency]])</f>
        <v>95552</v>
      </c>
      <c r="E19" s="10">
        <f>SUMIFS(DirectExpensesYR1[Cost],DirectExpensesYR1[Project],Budget[[#This Row],[PIN]],DirectExpensesYR1[Agency],Budget[[#This Row],[Agency]])</f>
        <v>0</v>
      </c>
      <c r="F19" s="10">
        <f>SUMIFS(SupportCostsYr1[Cost],SupportCostsYr1[Project],Budget[[#This Row],[PIN]],SupportCostsYr1[Agency],Budget[[#This Row],[Agency]])</f>
        <v>0</v>
      </c>
      <c r="G19" s="10">
        <f>SUMIFS(ConsultantYr1[Cost],ConsultantYr1[Project],Budget[[#This Row],[PIN]],ConsultantYr1[Agency],Budget[[#This Row],[Agency]])</f>
        <v>0</v>
      </c>
      <c r="H19" s="10">
        <f>SUMIFS(ConsultantYr1[FHWA_Consultant Cost],ConsultantYr1[Project],Budget[[#This Row],[PIN]],ConsultantYr1[Agency],Budget[[#This Row],[Agency]])</f>
        <v>0</v>
      </c>
      <c r="I19" s="10">
        <f>SUMIFS(ConsultantYr1[FTA_Consultant Cost],ConsultantYr1[Project],Budget[[#This Row],[PIN]],ConsultantYr1[Agency],Budget[[#This Row],[Agency]])</f>
        <v>0</v>
      </c>
      <c r="J19" s="8" cm="1">
        <f t="array" ref="J19">SplitYr1[[FHWA]:[FHWA]]*SUM(Budget[[#This Row],[Staff Cost]:[Support Costs]])</f>
        <v>63702.74981469757</v>
      </c>
      <c r="K19" s="10" cm="1">
        <f t="array" ref="K19">SplitYr1[[FTA]:[FTA]]*SUM(Budget[[#This Row],[Staff Cost]:[Support Costs]])</f>
        <v>31849.250185302422</v>
      </c>
    </row>
    <row r="20" spans="1:11" x14ac:dyDescent="0.25">
      <c r="A20" t="s">
        <v>43</v>
      </c>
      <c r="B20" t="s">
        <v>24</v>
      </c>
      <c r="C20" t="s">
        <v>158</v>
      </c>
      <c r="D20" s="10">
        <f>SUMIFS(StaffAllocYR1[Staff Cost],StaffAllocYR1[Project],Budget[[#This Row],[PIN]],StaffAllocYR1[Agency],Budget[[#This Row],[Agency]])</f>
        <v>0</v>
      </c>
      <c r="E20" s="10">
        <f>SUMIFS(DirectExpensesYR1[Cost],DirectExpensesYR1[Project],Budget[[#This Row],[PIN]],DirectExpensesYR1[Agency],Budget[[#This Row],[Agency]])</f>
        <v>33987</v>
      </c>
      <c r="F20" s="10">
        <f>SUMIFS(SupportCostsYr1[Cost],SupportCostsYr1[Project],Budget[[#This Row],[PIN]],SupportCostsYr1[Agency],Budget[[#This Row],[Agency]])</f>
        <v>0</v>
      </c>
      <c r="G20" s="10">
        <f>SUMIFS(ConsultantYr1[Cost],ConsultantYr1[Project],Budget[[#This Row],[PIN]],ConsultantYr1[Agency],Budget[[#This Row],[Agency]])</f>
        <v>0</v>
      </c>
      <c r="H20" s="10">
        <f>SUMIFS(ConsultantYr1[FHWA_Consultant Cost],ConsultantYr1[Project],Budget[[#This Row],[PIN]],ConsultantYr1[Agency],Budget[[#This Row],[Agency]])</f>
        <v>0</v>
      </c>
      <c r="I20" s="10">
        <f>SUMIFS(ConsultantYr1[FTA_Consultant Cost],ConsultantYr1[Project],Budget[[#This Row],[PIN]],ConsultantYr1[Agency],Budget[[#This Row],[Agency]])</f>
        <v>0</v>
      </c>
      <c r="J20" s="8" cm="1">
        <f t="array" ref="J20">SplitYr1[[FHWA]:[FHWA]]*SUM(Budget[[#This Row],[Staff Cost]:[Support Costs]])</f>
        <v>22658.503829874062</v>
      </c>
      <c r="K20" s="10" cm="1">
        <f t="array" ref="K20">SplitYr1[[FTA]:[FTA]]*SUM(Budget[[#This Row],[Staff Cost]:[Support Costs]])</f>
        <v>11328.496170125936</v>
      </c>
    </row>
    <row r="21" spans="1:11" x14ac:dyDescent="0.25">
      <c r="A21" t="s">
        <v>44</v>
      </c>
      <c r="B21" t="s">
        <v>24</v>
      </c>
      <c r="C21" t="s">
        <v>36</v>
      </c>
      <c r="D21" s="10">
        <f>SUMIFS(StaffAllocYR1[Staff Cost],StaffAllocYR1[Project],Budget[[#This Row],[PIN]],StaffAllocYR1[Agency],Budget[[#This Row],[Agency]])</f>
        <v>0</v>
      </c>
      <c r="E21" s="10">
        <f>SUMIFS(DirectExpensesYR1[Cost],DirectExpensesYR1[Project],Budget[[#This Row],[PIN]],DirectExpensesYR1[Agency],Budget[[#This Row],[Agency]])</f>
        <v>0</v>
      </c>
      <c r="F21" s="10">
        <f>SUMIFS(SupportCostsYr1[Cost],SupportCostsYr1[Project],Budget[[#This Row],[PIN]],SupportCostsYr1[Agency],Budget[[#This Row],[Agency]])</f>
        <v>17442</v>
      </c>
      <c r="G21" s="10">
        <f>SUMIFS(ConsultantYr1[Cost],ConsultantYr1[Project],Budget[[#This Row],[PIN]],ConsultantYr1[Agency],Budget[[#This Row],[Agency]])</f>
        <v>168458</v>
      </c>
      <c r="H21" s="10">
        <f>SUMIFS(ConsultantYr1[FHWA_Consultant Cost],ConsultantYr1[Project],Budget[[#This Row],[PIN]],ConsultantYr1[Agency],Budget[[#This Row],[Agency]])</f>
        <v>168458</v>
      </c>
      <c r="I21" s="10">
        <f>SUMIFS(ConsultantYr1[FTA_Consultant Cost],ConsultantYr1[Project],Budget[[#This Row],[PIN]],ConsultantYr1[Agency],Budget[[#This Row],[Agency]])</f>
        <v>0</v>
      </c>
      <c r="J21" s="8" cm="1">
        <f t="array" ref="J21">SplitYr1[[FHWA]:[FHWA]]*SUM(Budget[[#This Row],[Staff Cost]:[Support Costs]])</f>
        <v>11628.258563587942</v>
      </c>
      <c r="K21" s="10" cm="1">
        <f t="array" ref="K21">SplitYr1[[FTA]:[FTA]]*SUM(Budget[[#This Row],[Staff Cost]:[Support Costs]])</f>
        <v>5813.7414364120568</v>
      </c>
    </row>
    <row r="22" spans="1:11" x14ac:dyDescent="0.25">
      <c r="A22" t="s">
        <v>45</v>
      </c>
      <c r="B22" t="s">
        <v>24</v>
      </c>
      <c r="C22" t="s">
        <v>37</v>
      </c>
      <c r="D22" s="10">
        <f>SUMIFS(StaffAllocYR1[Staff Cost],StaffAllocYR1[Project],Budget[[#This Row],[PIN]],StaffAllocYR1[Agency],Budget[[#This Row],[Agency]])</f>
        <v>16786</v>
      </c>
      <c r="E22" s="10">
        <f>SUMIFS(DirectExpensesYR1[Cost],DirectExpensesYR1[Project],Budget[[#This Row],[PIN]],DirectExpensesYR1[Agency],Budget[[#This Row],[Agency]])</f>
        <v>56057</v>
      </c>
      <c r="F22" s="10">
        <f>SUMIFS(SupportCostsYr1[Cost],SupportCostsYr1[Project],Budget[[#This Row],[PIN]],SupportCostsYr1[Agency],Budget[[#This Row],[Agency]])</f>
        <v>15155</v>
      </c>
      <c r="G22" s="10">
        <f>SUMIFS(ConsultantYr1[Cost],ConsultantYr1[Project],Budget[[#This Row],[PIN]],ConsultantYr1[Agency],Budget[[#This Row],[Agency]])</f>
        <v>0</v>
      </c>
      <c r="H22" s="10">
        <f>SUMIFS(ConsultantYr1[FHWA_Consultant Cost],ConsultantYr1[Project],Budget[[#This Row],[PIN]],ConsultantYr1[Agency],Budget[[#This Row],[Agency]])</f>
        <v>0</v>
      </c>
      <c r="I22" s="10">
        <f>SUMIFS(ConsultantYr1[FTA_Consultant Cost],ConsultantYr1[Project],Budget[[#This Row],[PIN]],ConsultantYr1[Agency],Budget[[#This Row],[Agency]])</f>
        <v>0</v>
      </c>
      <c r="J22" s="8" cm="1">
        <f t="array" ref="J22">SplitYr1[[FHWA]:[FHWA]]*SUM(Budget[[#This Row],[Staff Cost]:[Support Costs]])</f>
        <v>58666.637832737746</v>
      </c>
      <c r="K22" s="10" cm="1">
        <f t="array" ref="K22">SplitYr1[[FTA]:[FTA]]*SUM(Budget[[#This Row],[Staff Cost]:[Support Costs]])</f>
        <v>29331.36216726225</v>
      </c>
    </row>
    <row r="23" spans="1:11" x14ac:dyDescent="0.25">
      <c r="D23" s="32">
        <f>SUM(Budget[Staff Cost])</f>
        <v>704497</v>
      </c>
      <c r="E23" s="32">
        <f>SUM(Budget[Direct Expenses])</f>
        <v>530014</v>
      </c>
      <c r="F23" s="32">
        <f>SUM(Budget[Support Costs])</f>
        <v>485650</v>
      </c>
      <c r="G23" s="32">
        <f>SUM(Budget[Consultant Cost])</f>
        <v>1279839</v>
      </c>
      <c r="H23" s="32">
        <f>SUM(Budget[FHWA Consultant Cost])</f>
        <v>853200.5</v>
      </c>
      <c r="I23" s="32">
        <f>SUM(Budget[FTA Consultant Costs])</f>
        <v>426638.5</v>
      </c>
      <c r="J23" s="32">
        <f>SUM(Budget[FHWA_Staff_Other])</f>
        <v>1146799.5</v>
      </c>
      <c r="K23" s="32">
        <f>SUM(Budget[FTA_Staff_Other])</f>
        <v>573361.5</v>
      </c>
    </row>
    <row r="24" spans="1:11" x14ac:dyDescent="0.25">
      <c r="H24" s="11"/>
      <c r="I24" s="11"/>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85F98-5BC9-4ECC-8639-780604F677EE}">
  <dimension ref="A1:J8"/>
  <sheetViews>
    <sheetView workbookViewId="0">
      <selection activeCell="J8" sqref="J8"/>
    </sheetView>
  </sheetViews>
  <sheetFormatPr defaultRowHeight="15" x14ac:dyDescent="0.25"/>
  <cols>
    <col min="1" max="1" width="13.5703125" bestFit="1" customWidth="1"/>
    <col min="2" max="2" width="10.5703125" bestFit="1" customWidth="1"/>
    <col min="3" max="3" width="7.28515625" bestFit="1" customWidth="1"/>
    <col min="4" max="4" width="17" bestFit="1" customWidth="1"/>
    <col min="5" max="5" width="10" bestFit="1" customWidth="1"/>
    <col min="6" max="6" width="15.140625" bestFit="1" customWidth="1"/>
    <col min="7" max="8" width="5.5703125" bestFit="1" customWidth="1"/>
    <col min="9" max="9" width="24.140625" bestFit="1" customWidth="1"/>
    <col min="10" max="10" width="21.7109375" bestFit="1" customWidth="1"/>
  </cols>
  <sheetData>
    <row r="1" spans="1:10" x14ac:dyDescent="0.25">
      <c r="A1" t="s">
        <v>56</v>
      </c>
      <c r="B1" t="s">
        <v>57</v>
      </c>
      <c r="C1" t="s">
        <v>25</v>
      </c>
      <c r="D1" t="s">
        <v>21</v>
      </c>
      <c r="E1" t="s">
        <v>64</v>
      </c>
      <c r="F1" t="s">
        <v>110</v>
      </c>
      <c r="G1" t="s">
        <v>75</v>
      </c>
      <c r="H1" t="s">
        <v>76</v>
      </c>
      <c r="I1" t="s">
        <v>103</v>
      </c>
      <c r="J1" t="s">
        <v>104</v>
      </c>
    </row>
    <row r="2" spans="1:10" x14ac:dyDescent="0.25">
      <c r="A2" t="s">
        <v>74</v>
      </c>
      <c r="B2" t="s">
        <v>70</v>
      </c>
      <c r="C2" t="s">
        <v>39</v>
      </c>
      <c r="D2" t="s">
        <v>22</v>
      </c>
      <c r="E2" s="10">
        <f>ConsultantYr1[[#This Row],[Cost]]*ConsultantCharges[[#This Row],[% Completed]]</f>
        <v>294949</v>
      </c>
      <c r="F2" s="9">
        <v>1</v>
      </c>
      <c r="G2" s="9">
        <v>0</v>
      </c>
      <c r="H2" s="9">
        <f>1-ConsultantCharges[[#This Row],[FHWA %]]</f>
        <v>1</v>
      </c>
      <c r="I2" s="11">
        <f>(ConsultantCharges[[#This Row],[Cost]])*ConsultantCharges[[#This Row],[FHWA %]]</f>
        <v>0</v>
      </c>
      <c r="J2" s="11">
        <f>(ConsultantCharges[[#This Row],[Cost]])*ConsultantCharges[[#This Row],[FTA %]]</f>
        <v>294949</v>
      </c>
    </row>
    <row r="3" spans="1:10" x14ac:dyDescent="0.25">
      <c r="A3" t="s">
        <v>74</v>
      </c>
      <c r="B3" t="s">
        <v>70</v>
      </c>
      <c r="C3" t="s">
        <v>45</v>
      </c>
      <c r="D3" t="s">
        <v>23</v>
      </c>
      <c r="E3" s="10">
        <f>ConsultantYr1[[#This Row],[Cost]]*ConsultantCharges[[#This Row],[% Completed]]</f>
        <v>118872.90000000001</v>
      </c>
      <c r="F3" s="19">
        <v>0.45</v>
      </c>
      <c r="G3" s="9">
        <v>1</v>
      </c>
      <c r="H3" s="9">
        <f>1-ConsultantCharges[[#This Row],[FHWA %]]</f>
        <v>0</v>
      </c>
      <c r="I3" s="11">
        <f>(ConsultantCharges[[#This Row],[Cost]])*ConsultantCharges[[#This Row],[FHWA %]]</f>
        <v>118872.90000000001</v>
      </c>
      <c r="J3" s="11">
        <f>(ConsultantCharges[[#This Row],[Cost]])*ConsultantCharges[[#This Row],[FTA %]]</f>
        <v>0</v>
      </c>
    </row>
    <row r="4" spans="1:10" x14ac:dyDescent="0.25">
      <c r="A4" t="s">
        <v>74</v>
      </c>
      <c r="B4" t="s">
        <v>70</v>
      </c>
      <c r="C4" t="s">
        <v>44</v>
      </c>
      <c r="D4" t="s">
        <v>24</v>
      </c>
      <c r="E4" s="10">
        <f>ConsultantYr1[[#This Row],[Cost]]*ConsultantCharges[[#This Row],[% Completed]]</f>
        <v>84229</v>
      </c>
      <c r="F4" s="9">
        <v>0.5</v>
      </c>
      <c r="G4" s="9">
        <v>1</v>
      </c>
      <c r="H4" s="9">
        <f>1-ConsultantCharges[[#This Row],[FHWA %]]</f>
        <v>0</v>
      </c>
      <c r="I4" s="11">
        <f>(ConsultantCharges[[#This Row],[Cost]])*ConsultantCharges[[#This Row],[FHWA %]]</f>
        <v>84229</v>
      </c>
      <c r="J4" s="11">
        <f>(ConsultantCharges[[#This Row],[Cost]])*ConsultantCharges[[#This Row],[FTA %]]</f>
        <v>0</v>
      </c>
    </row>
    <row r="5" spans="1:10" x14ac:dyDescent="0.25">
      <c r="A5" t="s">
        <v>74</v>
      </c>
      <c r="B5" t="s">
        <v>70</v>
      </c>
      <c r="C5" t="s">
        <v>45</v>
      </c>
      <c r="D5" t="s">
        <v>22</v>
      </c>
      <c r="E5" s="10">
        <f>ConsultantYr1[[#This Row],[Cost]]*ConsultantCharges[[#This Row],[% Completed]]</f>
        <v>118520.55</v>
      </c>
      <c r="F5" s="9">
        <v>0.45</v>
      </c>
      <c r="G5" s="9">
        <v>0.5</v>
      </c>
      <c r="H5" s="9">
        <f>1-ConsultantCharges[[#This Row],[FHWA %]]</f>
        <v>0.5</v>
      </c>
      <c r="I5" s="11">
        <f>(ConsultantCharges[[#This Row],[Cost]])*ConsultantCharges[[#This Row],[FHWA %]]</f>
        <v>59260.275000000001</v>
      </c>
      <c r="J5" s="11">
        <f>(ConsultantCharges[[#This Row],[Cost]])*ConsultantCharges[[#This Row],[FTA %]]</f>
        <v>59260.275000000001</v>
      </c>
    </row>
    <row r="6" spans="1:10" x14ac:dyDescent="0.25">
      <c r="A6" t="s">
        <v>74</v>
      </c>
      <c r="B6" t="s">
        <v>70</v>
      </c>
      <c r="C6" t="s">
        <v>40</v>
      </c>
      <c r="D6" t="s">
        <v>23</v>
      </c>
      <c r="E6" s="10">
        <f>ConsultantYr1[[#This Row],[Cost]]*ConsultantCharges[[#This Row],[% Completed]]</f>
        <v>253775</v>
      </c>
      <c r="F6" s="9">
        <v>1</v>
      </c>
      <c r="G6" s="9">
        <v>1</v>
      </c>
      <c r="H6" s="9">
        <f>1-ConsultantCharges[[#This Row],[FHWA %]]</f>
        <v>0</v>
      </c>
      <c r="I6" s="11">
        <f>(ConsultantCharges[[#This Row],[Cost]])*ConsultantCharges[[#This Row],[FHWA %]]</f>
        <v>253775</v>
      </c>
      <c r="J6" s="11">
        <f>(ConsultantCharges[[#This Row],[Cost]])*ConsultantCharges[[#This Row],[FTA %]]</f>
        <v>0</v>
      </c>
    </row>
    <row r="7" spans="1:10" x14ac:dyDescent="0.25">
      <c r="A7" t="s">
        <v>74</v>
      </c>
      <c r="B7" t="s">
        <v>70</v>
      </c>
      <c r="C7" t="s">
        <v>41</v>
      </c>
      <c r="D7" t="s">
        <v>24</v>
      </c>
      <c r="E7" s="10">
        <f>ConsultantYr1[[#This Row],[Cost]]*ConsultantCharges[[#This Row],[% Completed]]</f>
        <v>35116</v>
      </c>
      <c r="F7" s="9">
        <v>1</v>
      </c>
      <c r="G7" s="9">
        <v>1</v>
      </c>
      <c r="H7" s="9">
        <f>1-ConsultantCharges[[#This Row],[FHWA %]]</f>
        <v>0</v>
      </c>
      <c r="I7" s="11">
        <f>(ConsultantCharges[[#This Row],[Cost]])*ConsultantCharges[[#This Row],[FHWA %]]</f>
        <v>35116</v>
      </c>
      <c r="J7" s="11">
        <f>(ConsultantCharges[[#This Row],[Cost]])*ConsultantCharges[[#This Row],[FTA %]]</f>
        <v>0</v>
      </c>
    </row>
    <row r="8" spans="1:10" x14ac:dyDescent="0.25">
      <c r="E8" s="32">
        <f>SUM(ConsultantCharges[Cost])</f>
        <v>905462.45000000007</v>
      </c>
      <c r="F8" s="32"/>
      <c r="G8" s="32"/>
      <c r="H8" s="32"/>
      <c r="I8" s="32">
        <f>SUM(ConsultantCharges[FHWA_Consultant Cost])</f>
        <v>551253.17500000005</v>
      </c>
      <c r="J8" s="32">
        <f>SUM(ConsultantCharges[FTA_Consultant Cost])</f>
        <v>354209.27500000002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707B8-2DAA-41D3-8014-3F0641C39B79}">
  <dimension ref="A1:J23"/>
  <sheetViews>
    <sheetView topLeftCell="A4" workbookViewId="0">
      <selection activeCell="D23" sqref="D23:J23"/>
    </sheetView>
  </sheetViews>
  <sheetFormatPr defaultRowHeight="15" x14ac:dyDescent="0.25"/>
  <cols>
    <col min="1" max="1" width="17" bestFit="1" customWidth="1"/>
    <col min="2" max="2" width="35.28515625" bestFit="1" customWidth="1"/>
    <col min="3" max="3" width="11.7109375" bestFit="1" customWidth="1"/>
    <col min="4" max="4" width="17.42578125" bestFit="1" customWidth="1"/>
    <col min="5" max="5" width="15.5703125" bestFit="1" customWidth="1"/>
    <col min="6" max="6" width="17.28515625" bestFit="1" customWidth="1"/>
    <col min="7" max="7" width="22" bestFit="1" customWidth="1"/>
    <col min="8" max="8" width="20.42578125" bestFit="1" customWidth="1"/>
    <col min="9" max="10" width="18" bestFit="1" customWidth="1"/>
  </cols>
  <sheetData>
    <row r="1" spans="1:10" x14ac:dyDescent="0.25">
      <c r="A1" t="s">
        <v>38</v>
      </c>
      <c r="B1" t="s">
        <v>21</v>
      </c>
      <c r="C1" t="s">
        <v>25</v>
      </c>
      <c r="D1" t="s">
        <v>77</v>
      </c>
      <c r="E1" t="s">
        <v>78</v>
      </c>
      <c r="F1" t="s">
        <v>79</v>
      </c>
      <c r="G1" t="s">
        <v>101</v>
      </c>
      <c r="H1" t="s">
        <v>102</v>
      </c>
      <c r="I1" t="s">
        <v>109</v>
      </c>
      <c r="J1" t="s">
        <v>108</v>
      </c>
    </row>
    <row r="2" spans="1:10" x14ac:dyDescent="0.25">
      <c r="A2" t="s">
        <v>39</v>
      </c>
      <c r="B2" t="s">
        <v>22</v>
      </c>
      <c r="C2" t="s">
        <v>31</v>
      </c>
      <c r="D2" s="10">
        <v>8993.0173930418932</v>
      </c>
      <c r="E2" s="10">
        <v>8983.1143539425666</v>
      </c>
      <c r="F2" s="10">
        <v>0</v>
      </c>
      <c r="G2" s="10">
        <f>SUMIFS(ConsultantCharges[FHWA_Consultant Cost],ConsultantCharges[Project],Budget13[[#This Row],[PIN]],ConsultantCharges[Agency],Budget13[[#This Row],[Agency]])</f>
        <v>0</v>
      </c>
      <c r="H2" s="10">
        <f>SUMIFS(ConsultantCharges[FTA_Consultant Cost],ConsultantCharges[Project],Budget13[[#This Row],[PIN]],ConsultantCharges[Agency],Budget13[[#This Row],[Agency]])</f>
        <v>294949</v>
      </c>
      <c r="I2" s="8" cm="1">
        <f t="array" ref="I2">SplitYr1[[FHWA]:[FHWA]]*SUM(Budget13[[#This Row],[Staff Cost]:[Support Costs]])</f>
        <v>11984.354312983436</v>
      </c>
      <c r="J2" s="10" cm="1">
        <f t="array" ref="J2">SplitYr1[[FTA]:[FTA]]*SUM(Budget13[[#This Row],[Staff Cost]:[Support Costs]])</f>
        <v>5991.7774340010201</v>
      </c>
    </row>
    <row r="3" spans="1:10" x14ac:dyDescent="0.25">
      <c r="A3" t="s">
        <v>40</v>
      </c>
      <c r="B3" t="s">
        <v>22</v>
      </c>
      <c r="C3" t="s">
        <v>32</v>
      </c>
      <c r="D3" s="10">
        <v>1216.8970020349668</v>
      </c>
      <c r="E3" s="10">
        <v>13416.673994955405</v>
      </c>
      <c r="F3" s="10">
        <v>0</v>
      </c>
      <c r="G3" s="10">
        <f>SUMIFS(ConsultantCharges[FHWA_Consultant Cost],ConsultantCharges[Project],Budget13[[#This Row],[PIN]],ConsultantCharges[Agency],Budget13[[#This Row],[Agency]])</f>
        <v>0</v>
      </c>
      <c r="H3" s="10">
        <f>SUMIFS(ConsultantCharges[FTA_Consultant Cost],ConsultantCharges[Project],Budget13[[#This Row],[PIN]],ConsultantCharges[Agency],Budget13[[#This Row],[Agency]])</f>
        <v>0</v>
      </c>
      <c r="I3" s="8" cm="1">
        <f t="array" ref="I3">SplitYr1[[FHWA]:[FHWA]]*SUM(Budget13[[#This Row],[Staff Cost]:[Support Costs]])</f>
        <v>9755.9309288857603</v>
      </c>
      <c r="J3" s="10" cm="1">
        <f t="array" ref="J3">SplitYr1[[FTA]:[FTA]]*SUM(Budget13[[#This Row],[Staff Cost]:[Support Costs]])</f>
        <v>4877.6400681046107</v>
      </c>
    </row>
    <row r="4" spans="1:10" x14ac:dyDescent="0.25">
      <c r="A4" t="s">
        <v>41</v>
      </c>
      <c r="B4" t="s">
        <v>22</v>
      </c>
      <c r="C4" t="s">
        <v>33</v>
      </c>
      <c r="D4" s="10">
        <v>155430.6622329712</v>
      </c>
      <c r="E4" s="10">
        <v>3761.7686978301476</v>
      </c>
      <c r="F4" s="10">
        <v>105966.07382983332</v>
      </c>
      <c r="G4" s="10">
        <f>SUMIFS(ConsultantCharges[FHWA_Consultant Cost],ConsultantCharges[Project],Budget13[[#This Row],[PIN]],ConsultantCharges[Agency],Budget13[[#This Row],[Agency]])</f>
        <v>0</v>
      </c>
      <c r="H4" s="10">
        <f>SUMIFS(ConsultantCharges[FTA_Consultant Cost],ConsultantCharges[Project],Budget13[[#This Row],[PIN]],ConsultantCharges[Agency],Budget13[[#This Row],[Agency]])</f>
        <v>0</v>
      </c>
      <c r="I4" s="8" cm="1">
        <f t="array" ref="I4">SplitYr1[[FHWA]:[FHWA]]*SUM(Budget13[[#This Row],[Staff Cost]:[Support Costs]])</f>
        <v>176776.26726814726</v>
      </c>
      <c r="J4" s="10" cm="1">
        <f t="array" ref="J4">SplitYr1[[FTA]:[FTA]]*SUM(Budget13[[#This Row],[Staff Cost]:[Support Costs]])</f>
        <v>88382.237492487417</v>
      </c>
    </row>
    <row r="5" spans="1:10" x14ac:dyDescent="0.25">
      <c r="A5" t="s">
        <v>42</v>
      </c>
      <c r="B5" t="s">
        <v>22</v>
      </c>
      <c r="C5" t="s">
        <v>34</v>
      </c>
      <c r="D5" s="10">
        <v>2246.0101125285264</v>
      </c>
      <c r="E5" s="10">
        <v>6145.3065698165901</v>
      </c>
      <c r="F5" s="10">
        <v>0</v>
      </c>
      <c r="G5" s="10">
        <f>SUMIFS(ConsultantCharges[FHWA_Consultant Cost],ConsultantCharges[Project],Budget13[[#This Row],[PIN]],ConsultantCharges[Agency],Budget13[[#This Row],[Agency]])</f>
        <v>0</v>
      </c>
      <c r="H5" s="10">
        <f>SUMIFS(ConsultantCharges[FTA_Consultant Cost],ConsultantCharges[Project],Budget13[[#This Row],[PIN]],ConsultantCharges[Agency],Budget13[[#This Row],[Agency]])</f>
        <v>0</v>
      </c>
      <c r="I5" s="8" cm="1">
        <f t="array" ref="I5">SplitYr1[[FHWA]:[FHWA]]*SUM(Budget13[[#This Row],[Staff Cost]:[Support Costs]])</f>
        <v>5594.3355160679948</v>
      </c>
      <c r="J5" s="10" cm="1">
        <f t="array" ref="J5">SplitYr1[[FTA]:[FTA]]*SUM(Budget13[[#This Row],[Staff Cost]:[Support Costs]])</f>
        <v>2796.9811662771217</v>
      </c>
    </row>
    <row r="6" spans="1:10" x14ac:dyDescent="0.25">
      <c r="A6" t="s">
        <v>43</v>
      </c>
      <c r="B6" t="s">
        <v>22</v>
      </c>
      <c r="C6" t="s">
        <v>35</v>
      </c>
      <c r="D6" s="10">
        <v>0</v>
      </c>
      <c r="E6" s="10">
        <v>26053.360453988735</v>
      </c>
      <c r="F6" s="10">
        <v>37371.425788900386</v>
      </c>
      <c r="G6" s="10">
        <f>SUMIFS(ConsultantCharges[FHWA_Consultant Cost],ConsultantCharges[Project],Budget13[[#This Row],[PIN]],ConsultantCharges[Agency],Budget13[[#This Row],[Agency]])</f>
        <v>0</v>
      </c>
      <c r="H6" s="10">
        <f>SUMIFS(ConsultantCharges[FTA_Consultant Cost],ConsultantCharges[Project],Budget13[[#This Row],[PIN]],ConsultantCharges[Agency],Budget13[[#This Row],[Agency]])</f>
        <v>0</v>
      </c>
      <c r="I6" s="8" cm="1">
        <f t="array" ref="I6">SplitYr1[[FHWA]:[FHWA]]*SUM(Budget13[[#This Row],[Staff Cost]:[Support Costs]])</f>
        <v>42284.131049914584</v>
      </c>
      <c r="J6" s="10" cm="1">
        <f t="array" ref="J6">SplitYr1[[FTA]:[FTA]]*SUM(Budget13[[#This Row],[Staff Cost]:[Support Costs]])</f>
        <v>21140.655192974536</v>
      </c>
    </row>
    <row r="7" spans="1:10" x14ac:dyDescent="0.25">
      <c r="A7" t="s">
        <v>44</v>
      </c>
      <c r="B7" t="s">
        <v>22</v>
      </c>
      <c r="C7" t="s">
        <v>36</v>
      </c>
      <c r="D7" s="10">
        <v>32161.396825411164</v>
      </c>
      <c r="E7" s="10">
        <v>0</v>
      </c>
      <c r="F7" s="10">
        <v>19900.096997680084</v>
      </c>
      <c r="G7" s="10">
        <f>SUMIFS(ConsultantCharges[FHWA_Consultant Cost],ConsultantCharges[Project],Budget13[[#This Row],[PIN]],ConsultantCharges[Agency],Budget13[[#This Row],[Agency]])</f>
        <v>0</v>
      </c>
      <c r="H7" s="10">
        <f>SUMIFS(ConsultantCharges[FTA_Consultant Cost],ConsultantCharges[Project],Budget13[[#This Row],[PIN]],ConsultantCharges[Agency],Budget13[[#This Row],[Agency]])</f>
        <v>0</v>
      </c>
      <c r="I7" s="8" cm="1">
        <f t="array" ref="I7">SplitYr1[[FHWA]:[FHWA]]*SUM(Budget13[[#This Row],[Staff Cost]:[Support Costs]])</f>
        <v>34708.434318400505</v>
      </c>
      <c r="J7" s="10" cm="1">
        <f t="array" ref="J7">SplitYr1[[FTA]:[FTA]]*SUM(Budget13[[#This Row],[Staff Cost]:[Support Costs]])</f>
        <v>17353.059504690744</v>
      </c>
    </row>
    <row r="8" spans="1:10" x14ac:dyDescent="0.25">
      <c r="A8" t="s">
        <v>45</v>
      </c>
      <c r="B8" t="s">
        <v>22</v>
      </c>
      <c r="C8" t="s">
        <v>37</v>
      </c>
      <c r="D8" s="10">
        <v>36909.558196477163</v>
      </c>
      <c r="E8" s="10">
        <v>51688.068671563073</v>
      </c>
      <c r="F8" s="10">
        <v>77496.633233479661</v>
      </c>
      <c r="G8" s="10">
        <f>SUMIFS(ConsultantCharges[FHWA_Consultant Cost],ConsultantCharges[Project],Budget13[[#This Row],[PIN]],ConsultantCharges[Agency],Budget13[[#This Row],[Agency]])</f>
        <v>59260.275000000001</v>
      </c>
      <c r="H8" s="10">
        <f>SUMIFS(ConsultantCharges[FTA_Consultant Cost],ConsultantCharges[Project],Budget13[[#This Row],[PIN]],ConsultantCharges[Agency],Budget13[[#This Row],[Agency]])</f>
        <v>59260.275000000001</v>
      </c>
      <c r="I8" s="8" cm="1">
        <f t="array" ref="I8">SplitYr1[[FHWA]:[FHWA]]*SUM(Budget13[[#This Row],[Staff Cost]:[Support Costs]])</f>
        <v>110731.96894784439</v>
      </c>
      <c r="J8" s="10" cm="1">
        <f t="array" ref="J8">SplitYr1[[FTA]:[FTA]]*SUM(Budget13[[#This Row],[Staff Cost]:[Support Costs]])</f>
        <v>55362.291153675498</v>
      </c>
    </row>
    <row r="9" spans="1:10" x14ac:dyDescent="0.25">
      <c r="A9" t="s">
        <v>39</v>
      </c>
      <c r="B9" t="s">
        <v>23</v>
      </c>
      <c r="C9" t="s">
        <v>31</v>
      </c>
      <c r="D9" s="10">
        <v>0</v>
      </c>
      <c r="E9" s="10">
        <v>0</v>
      </c>
      <c r="F9" s="10">
        <v>14325.871527996709</v>
      </c>
      <c r="G9" s="10">
        <f>SUMIFS(ConsultantCharges[FHWA_Consultant Cost],ConsultantCharges[Project],Budget13[[#This Row],[PIN]],ConsultantCharges[Agency],Budget13[[#This Row],[Agency]])</f>
        <v>0</v>
      </c>
      <c r="H9" s="10">
        <f>SUMIFS(ConsultantCharges[FTA_Consultant Cost],ConsultantCharges[Project],Budget13[[#This Row],[PIN]],ConsultantCharges[Agency],Budget13[[#This Row],[Agency]])</f>
        <v>0</v>
      </c>
      <c r="I9" s="8" cm="1">
        <f t="array" ref="I9">SplitYr1[[FHWA]:[FHWA]]*SUM(Budget13[[#This Row],[Staff Cost]:[Support Costs]])</f>
        <v>9550.7933881600966</v>
      </c>
      <c r="J9" s="10" cm="1">
        <f t="array" ref="J9">SplitYr1[[FTA]:[FTA]]*SUM(Budget13[[#This Row],[Staff Cost]:[Support Costs]])</f>
        <v>4775.0781398366116</v>
      </c>
    </row>
    <row r="10" spans="1:10" x14ac:dyDescent="0.25">
      <c r="A10" t="s">
        <v>40</v>
      </c>
      <c r="B10" t="s">
        <v>23</v>
      </c>
      <c r="C10" t="s">
        <v>32</v>
      </c>
      <c r="D10" s="10">
        <v>0</v>
      </c>
      <c r="E10" s="10">
        <v>0</v>
      </c>
      <c r="F10" s="10">
        <v>0</v>
      </c>
      <c r="G10" s="10">
        <f>SUMIFS(ConsultantCharges[FHWA_Consultant Cost],ConsultantCharges[Project],Budget13[[#This Row],[PIN]],ConsultantCharges[Agency],Budget13[[#This Row],[Agency]])</f>
        <v>253775</v>
      </c>
      <c r="H10" s="10">
        <f>SUMIFS(ConsultantCharges[FTA_Consultant Cost],ConsultantCharges[Project],Budget13[[#This Row],[PIN]],ConsultantCharges[Agency],Budget13[[#This Row],[Agency]])</f>
        <v>0</v>
      </c>
      <c r="I10" s="8" cm="1">
        <f t="array" ref="I10">SplitYr1[[FHWA]:[FHWA]]*SUM(Budget13[[#This Row],[Staff Cost]:[Support Costs]])</f>
        <v>0</v>
      </c>
      <c r="J10" s="10" cm="1">
        <f t="array" ref="J10">SplitYr1[[FTA]:[FTA]]*SUM(Budget13[[#This Row],[Staff Cost]:[Support Costs]])</f>
        <v>0</v>
      </c>
    </row>
    <row r="11" spans="1:10" x14ac:dyDescent="0.25">
      <c r="A11" t="s">
        <v>41</v>
      </c>
      <c r="B11" t="s">
        <v>23</v>
      </c>
      <c r="C11" t="s">
        <v>33</v>
      </c>
      <c r="D11" s="10">
        <v>67548.196291305678</v>
      </c>
      <c r="E11" s="10">
        <v>0</v>
      </c>
      <c r="F11" s="10">
        <v>5023.1671636663141</v>
      </c>
      <c r="G11" s="10">
        <f>SUMIFS(ConsultantCharges[FHWA_Consultant Cost],ConsultantCharges[Project],Budget13[[#This Row],[PIN]],ConsultantCharges[Agency],Budget13[[#This Row],[Agency]])</f>
        <v>0</v>
      </c>
      <c r="H11" s="10">
        <f>SUMIFS(ConsultantCharges[FTA_Consultant Cost],ConsultantCharges[Project],Budget13[[#This Row],[PIN]],ConsultantCharges[Agency],Budget13[[#This Row],[Agency]])</f>
        <v>0</v>
      </c>
      <c r="I11" s="8" cm="1">
        <f t="array" ref="I11">SplitYr1[[FHWA]:[FHWA]]*SUM(Budget13[[#This Row],[Staff Cost]:[Support Costs]])</f>
        <v>48381.984781936189</v>
      </c>
      <c r="J11" s="10" cm="1">
        <f t="array" ref="J11">SplitYr1[[FTA]:[FTA]]*SUM(Budget13[[#This Row],[Staff Cost]:[Support Costs]])</f>
        <v>24189.37867303579</v>
      </c>
    </row>
    <row r="12" spans="1:10" x14ac:dyDescent="0.25">
      <c r="A12" t="s">
        <v>42</v>
      </c>
      <c r="B12" t="s">
        <v>23</v>
      </c>
      <c r="C12" t="s">
        <v>34</v>
      </c>
      <c r="D12" s="10">
        <v>0</v>
      </c>
      <c r="E12" s="10">
        <v>0</v>
      </c>
      <c r="F12" s="10">
        <v>0</v>
      </c>
      <c r="G12" s="10">
        <f>SUMIFS(ConsultantCharges[FHWA_Consultant Cost],ConsultantCharges[Project],Budget13[[#This Row],[PIN]],ConsultantCharges[Agency],Budget13[[#This Row],[Agency]])</f>
        <v>0</v>
      </c>
      <c r="H12" s="10">
        <f>SUMIFS(ConsultantCharges[FTA_Consultant Cost],ConsultantCharges[Project],Budget13[[#This Row],[PIN]],ConsultantCharges[Agency],Budget13[[#This Row],[Agency]])</f>
        <v>0</v>
      </c>
      <c r="I12" s="8" cm="1">
        <f t="array" ref="I12">SplitYr1[[FHWA]:[FHWA]]*SUM(Budget13[[#This Row],[Staff Cost]:[Support Costs]])</f>
        <v>0</v>
      </c>
      <c r="J12" s="10" cm="1">
        <f t="array" ref="J12">SplitYr1[[FTA]:[FTA]]*SUM(Budget13[[#This Row],[Staff Cost]:[Support Costs]])</f>
        <v>0</v>
      </c>
    </row>
    <row r="13" spans="1:10" x14ac:dyDescent="0.25">
      <c r="A13" t="s">
        <v>43</v>
      </c>
      <c r="B13" t="s">
        <v>23</v>
      </c>
      <c r="C13" t="s">
        <v>35</v>
      </c>
      <c r="D13" s="10">
        <v>0</v>
      </c>
      <c r="E13" s="10">
        <v>9916.7421376091133</v>
      </c>
      <c r="F13" s="10">
        <v>0</v>
      </c>
      <c r="G13" s="10">
        <f>SUMIFS(ConsultantCharges[FHWA_Consultant Cost],ConsultantCharges[Project],Budget13[[#This Row],[PIN]],ConsultantCharges[Agency],Budget13[[#This Row],[Agency]])</f>
        <v>0</v>
      </c>
      <c r="H13" s="10">
        <f>SUMIFS(ConsultantCharges[FTA_Consultant Cost],ConsultantCharges[Project],Budget13[[#This Row],[PIN]],ConsultantCharges[Agency],Budget13[[#This Row],[Agency]])</f>
        <v>0</v>
      </c>
      <c r="I13" s="8" cm="1">
        <f t="array" ref="I13">SplitYr1[[FHWA]:[FHWA]]*SUM(Budget13[[#This Row],[Staff Cost]:[Support Costs]])</f>
        <v>6611.3084327798742</v>
      </c>
      <c r="J13" s="10" cm="1">
        <f t="array" ref="J13">SplitYr1[[FTA]:[FTA]]*SUM(Budget13[[#This Row],[Staff Cost]:[Support Costs]])</f>
        <v>3305.4337048292382</v>
      </c>
    </row>
    <row r="14" spans="1:10" x14ac:dyDescent="0.25">
      <c r="A14" t="s">
        <v>44</v>
      </c>
      <c r="B14" t="s">
        <v>23</v>
      </c>
      <c r="C14" t="s">
        <v>36</v>
      </c>
      <c r="D14" s="10">
        <v>3423.4886360881374</v>
      </c>
      <c r="E14" s="10">
        <v>0</v>
      </c>
      <c r="F14" s="10">
        <v>0</v>
      </c>
      <c r="G14" s="10">
        <f>SUMIFS(ConsultantCharges[FHWA_Consultant Cost],ConsultantCharges[Project],Budget13[[#This Row],[PIN]],ConsultantCharges[Agency],Budget13[[#This Row],[Agency]])</f>
        <v>0</v>
      </c>
      <c r="H14" s="10">
        <f>SUMIFS(ConsultantCharges[FTA_Consultant Cost],ConsultantCharges[Project],Budget13[[#This Row],[PIN]],ConsultantCharges[Agency],Budget13[[#This Row],[Agency]])</f>
        <v>0</v>
      </c>
      <c r="I14" s="8" cm="1">
        <f t="array" ref="I14">SplitYr1[[FHWA]:[FHWA]]*SUM(Budget13[[#This Row],[Staff Cost]:[Support Costs]])</f>
        <v>2282.3765078510428</v>
      </c>
      <c r="J14" s="10" cm="1">
        <f t="array" ref="J14">SplitYr1[[FTA]:[FTA]]*SUM(Budget13[[#This Row],[Staff Cost]:[Support Costs]])</f>
        <v>1141.1121282370943</v>
      </c>
    </row>
    <row r="15" spans="1:10" x14ac:dyDescent="0.25">
      <c r="A15" t="s">
        <v>45</v>
      </c>
      <c r="B15" t="s">
        <v>23</v>
      </c>
      <c r="C15" t="s">
        <v>37</v>
      </c>
      <c r="D15" s="10">
        <v>9124.7164578593365</v>
      </c>
      <c r="E15" s="10">
        <v>26137.981694397891</v>
      </c>
      <c r="F15" s="10">
        <v>23824.329584045121</v>
      </c>
      <c r="G15" s="10">
        <f>SUMIFS(ConsultantCharges[FHWA_Consultant Cost],ConsultantCharges[Project],Budget13[[#This Row],[PIN]],ConsultantCharges[Agency],Budget13[[#This Row],[Agency]])</f>
        <v>118872.90000000001</v>
      </c>
      <c r="H15" s="10">
        <f>SUMIFS(ConsultantCharges[FTA_Consultant Cost],ConsultantCharges[Project],Budget13[[#This Row],[PIN]],ConsultantCharges[Agency],Budget13[[#This Row],[Agency]])</f>
        <v>0</v>
      </c>
      <c r="I15" s="8" cm="1">
        <f t="array" ref="I15">SplitYr1[[FHWA]:[FHWA]]*SUM(Budget13[[#This Row],[Staff Cost]:[Support Costs]])</f>
        <v>39392.227741750721</v>
      </c>
      <c r="J15" s="10" cm="1">
        <f t="array" ref="J15">SplitYr1[[FTA]:[FTA]]*SUM(Budget13[[#This Row],[Staff Cost]:[Support Costs]])</f>
        <v>19694.799994551624</v>
      </c>
    </row>
    <row r="16" spans="1:10" x14ac:dyDescent="0.25">
      <c r="A16" t="s">
        <v>39</v>
      </c>
      <c r="B16" t="s">
        <v>24</v>
      </c>
      <c r="C16" t="s">
        <v>31</v>
      </c>
      <c r="D16" s="10">
        <v>0</v>
      </c>
      <c r="E16" s="10">
        <v>0</v>
      </c>
      <c r="F16" s="10">
        <v>1209.4613769725511</v>
      </c>
      <c r="G16" s="10">
        <f>SUMIFS(ConsultantCharges[FHWA_Consultant Cost],ConsultantCharges[Project],Budget13[[#This Row],[PIN]],ConsultantCharges[Agency],Budget13[[#This Row],[Agency]])</f>
        <v>0</v>
      </c>
      <c r="H16" s="10">
        <f>SUMIFS(ConsultantCharges[FTA_Consultant Cost],ConsultantCharges[Project],Budget13[[#This Row],[PIN]],ConsultantCharges[Agency],Budget13[[#This Row],[Agency]])</f>
        <v>0</v>
      </c>
      <c r="I16" s="8" cm="1">
        <f t="array" ref="I16">SplitYr1[[FHWA]:[FHWA]]*SUM(Budget13[[#This Row],[Staff Cost]:[Support Costs]])</f>
        <v>806.32551393819119</v>
      </c>
      <c r="J16" s="10" cm="1">
        <f t="array" ref="J16">SplitYr1[[FTA]:[FTA]]*SUM(Budget13[[#This Row],[Staff Cost]:[Support Costs]])</f>
        <v>403.13586303435977</v>
      </c>
    </row>
    <row r="17" spans="1:10" x14ac:dyDescent="0.25">
      <c r="A17" t="s">
        <v>40</v>
      </c>
      <c r="B17" t="s">
        <v>24</v>
      </c>
      <c r="C17" t="s">
        <v>32</v>
      </c>
      <c r="D17" s="10">
        <v>10924.970048543353</v>
      </c>
      <c r="E17" s="10">
        <v>0</v>
      </c>
      <c r="F17" s="10">
        <v>32246.775567295979</v>
      </c>
      <c r="G17" s="10">
        <f>SUMIFS(ConsultantCharges[FHWA_Consultant Cost],ConsultantCharges[Project],Budget13[[#This Row],[PIN]],ConsultantCharges[Agency],Budget13[[#This Row],[Agency]])</f>
        <v>0</v>
      </c>
      <c r="H17" s="10">
        <f>SUMIFS(ConsultantCharges[FTA_Consultant Cost],ConsultantCharges[Project],Budget13[[#This Row],[PIN]],ConsultantCharges[Agency],Budget13[[#This Row],[Agency]])</f>
        <v>0</v>
      </c>
      <c r="I17" s="8" cm="1">
        <f t="array" ref="I17">SplitYr1[[FHWA]:[FHWA]]*SUM(Budget13[[#This Row],[Staff Cost]:[Support Costs]])</f>
        <v>28781.803730215797</v>
      </c>
      <c r="J17" s="10" cm="1">
        <f t="array" ref="J17">SplitYr1[[FTA]:[FTA]]*SUM(Budget13[[#This Row],[Staff Cost]:[Support Costs]])</f>
        <v>14389.941885623533</v>
      </c>
    </row>
    <row r="18" spans="1:10" x14ac:dyDescent="0.25">
      <c r="A18" t="s">
        <v>41</v>
      </c>
      <c r="B18" t="s">
        <v>24</v>
      </c>
      <c r="C18" t="s">
        <v>33</v>
      </c>
      <c r="D18" s="10">
        <v>0</v>
      </c>
      <c r="E18" s="10">
        <v>0</v>
      </c>
      <c r="F18" s="10">
        <v>0</v>
      </c>
      <c r="G18" s="10">
        <f>SUMIFS(ConsultantCharges[FHWA_Consultant Cost],ConsultantCharges[Project],Budget13[[#This Row],[PIN]],ConsultantCharges[Agency],Budget13[[#This Row],[Agency]])</f>
        <v>35116</v>
      </c>
      <c r="H18" s="10">
        <f>SUMIFS(ConsultantCharges[FTA_Consultant Cost],ConsultantCharges[Project],Budget13[[#This Row],[PIN]],ConsultantCharges[Agency],Budget13[[#This Row],[Agency]])</f>
        <v>0</v>
      </c>
      <c r="I18" s="8" cm="1">
        <f t="array" ref="I18">SplitYr1[[FHWA]:[FHWA]]*SUM(Budget13[[#This Row],[Staff Cost]:[Support Costs]])</f>
        <v>0</v>
      </c>
      <c r="J18" s="10" cm="1">
        <f t="array" ref="J18">SplitYr1[[FTA]:[FTA]]*SUM(Budget13[[#This Row],[Staff Cost]:[Support Costs]])</f>
        <v>0</v>
      </c>
    </row>
    <row r="19" spans="1:10" x14ac:dyDescent="0.25">
      <c r="A19" t="s">
        <v>42</v>
      </c>
      <c r="B19" t="s">
        <v>24</v>
      </c>
      <c r="C19" t="s">
        <v>34</v>
      </c>
      <c r="D19" s="10">
        <v>85960.348122697324</v>
      </c>
      <c r="E19" s="10">
        <v>0</v>
      </c>
      <c r="F19" s="10">
        <v>0</v>
      </c>
      <c r="G19" s="10">
        <f>SUMIFS(ConsultantCharges[FHWA_Consultant Cost],ConsultantCharges[Project],Budget13[[#This Row],[PIN]],ConsultantCharges[Agency],Budget13[[#This Row],[Agency]])</f>
        <v>0</v>
      </c>
      <c r="H19" s="10">
        <f>SUMIFS(ConsultantCharges[FTA_Consultant Cost],ConsultantCharges[Project],Budget13[[#This Row],[PIN]],ConsultantCharges[Agency],Budget13[[#This Row],[Agency]])</f>
        <v>0</v>
      </c>
      <c r="I19" s="8" cm="1">
        <f t="array" ref="I19">SplitYr1[[FHWA]:[FHWA]]*SUM(Budget13[[#This Row],[Staff Cost]:[Support Costs]])</f>
        <v>57308.173041323003</v>
      </c>
      <c r="J19" s="10" cm="1">
        <f t="array" ref="J19">SplitYr1[[FTA]:[FTA]]*SUM(Budget13[[#This Row],[Staff Cost]:[Support Costs]])</f>
        <v>28652.175081374313</v>
      </c>
    </row>
    <row r="20" spans="1:10" x14ac:dyDescent="0.25">
      <c r="A20" t="s">
        <v>43</v>
      </c>
      <c r="B20" t="s">
        <v>24</v>
      </c>
      <c r="C20" t="s">
        <v>35</v>
      </c>
      <c r="D20" s="10">
        <v>0</v>
      </c>
      <c r="E20" s="10">
        <v>16749.571227215401</v>
      </c>
      <c r="F20" s="10">
        <v>0</v>
      </c>
      <c r="G20" s="10">
        <f>SUMIFS(ConsultantCharges[FHWA_Consultant Cost],ConsultantCharges[Project],Budget13[[#This Row],[PIN]],ConsultantCharges[Agency],Budget13[[#This Row],[Agency]])</f>
        <v>0</v>
      </c>
      <c r="H20" s="10">
        <f>SUMIFS(ConsultantCharges[FTA_Consultant Cost],ConsultantCharges[Project],Budget13[[#This Row],[PIN]],ConsultantCharges[Agency],Budget13[[#This Row],[Agency]])</f>
        <v>0</v>
      </c>
      <c r="I20" s="8" cm="1">
        <f t="array" ref="I20">SplitYr1[[FHWA]:[FHWA]]*SUM(Budget13[[#This Row],[Staff Cost]:[Support Costs]])</f>
        <v>11166.629117033235</v>
      </c>
      <c r="J20" s="10" cm="1">
        <f t="array" ref="J20">SplitYr1[[FTA]:[FTA]]*SUM(Budget13[[#This Row],[Staff Cost]:[Support Costs]])</f>
        <v>5582.9421101821654</v>
      </c>
    </row>
    <row r="21" spans="1:10" x14ac:dyDescent="0.25">
      <c r="A21" t="s">
        <v>44</v>
      </c>
      <c r="B21" t="s">
        <v>24</v>
      </c>
      <c r="C21" t="s">
        <v>36</v>
      </c>
      <c r="D21" s="10">
        <v>0</v>
      </c>
      <c r="E21" s="10">
        <v>0</v>
      </c>
      <c r="F21" s="10">
        <v>1591.3136635521794</v>
      </c>
      <c r="G21" s="10">
        <f>SUMIFS(ConsultantCharges[FHWA_Consultant Cost],ConsultantCharges[Project],Budget13[[#This Row],[PIN]],ConsultantCharges[Agency],Budget13[[#This Row],[Agency]])</f>
        <v>84229</v>
      </c>
      <c r="H21" s="10">
        <f>SUMIFS(ConsultantCharges[FTA_Consultant Cost],ConsultantCharges[Project],Budget13[[#This Row],[PIN]],ConsultantCharges[Agency],Budget13[[#This Row],[Agency]])</f>
        <v>0</v>
      </c>
      <c r="I21" s="8" cm="1">
        <f t="array" ref="I21">SplitYr1[[FHWA]:[FHWA]]*SUM(Budget13[[#This Row],[Staff Cost]:[Support Costs]])</f>
        <v>1060.8993656435691</v>
      </c>
      <c r="J21" s="10" cm="1">
        <f t="array" ref="J21">SplitYr1[[FTA]:[FTA]]*SUM(Budget13[[#This Row],[Staff Cost]:[Support Costs]])</f>
        <v>530.41429790861025</v>
      </c>
    </row>
    <row r="22" spans="1:10" x14ac:dyDescent="0.25">
      <c r="A22" t="s">
        <v>45</v>
      </c>
      <c r="B22" t="s">
        <v>24</v>
      </c>
      <c r="C22" t="s">
        <v>37</v>
      </c>
      <c r="D22" s="10">
        <v>11311.059959103275</v>
      </c>
      <c r="E22" s="10">
        <v>47160.673873983884</v>
      </c>
      <c r="F22" s="10">
        <v>1901.4007284374595</v>
      </c>
      <c r="G22" s="10">
        <f>SUMIFS(ConsultantCharges[FHWA_Consultant Cost],ConsultantCharges[Project],Budget13[[#This Row],[PIN]],ConsultantCharges[Agency],Budget13[[#This Row],[Agency]])</f>
        <v>0</v>
      </c>
      <c r="H22" s="10">
        <f>SUMIFS(ConsultantCharges[FTA_Consultant Cost],ConsultantCharges[Project],Budget13[[#This Row],[PIN]],ConsultantCharges[Agency],Budget13[[#This Row],[Agency]])</f>
        <v>0</v>
      </c>
      <c r="I22" s="8" cm="1">
        <f t="array" ref="I22">SplitYr1[[FHWA]:[FHWA]]*SUM(Budget13[[#This Row],[Staff Cost]:[Support Costs]])</f>
        <v>40249.651357395698</v>
      </c>
      <c r="J22" s="10" cm="1">
        <f t="array" ref="J22">SplitYr1[[FTA]:[FTA]]*SUM(Budget13[[#This Row],[Staff Cost]:[Support Costs]])</f>
        <v>20123.483204128912</v>
      </c>
    </row>
    <row r="23" spans="1:10" x14ac:dyDescent="0.25">
      <c r="D23" s="32">
        <f>SUM(Budget13[Staff Cost])</f>
        <v>425250.32127806201</v>
      </c>
      <c r="E23" s="32">
        <f>SUM(Budget13[Direct Expenses])</f>
        <v>210013.26167530278</v>
      </c>
      <c r="F23" s="32">
        <f>SUM(Budget13[Support Costs])</f>
        <v>320856.54946185974</v>
      </c>
      <c r="G23" s="32">
        <f>SUM(Budget13[FHWA Consultant Cost])</f>
        <v>551253.17500000005</v>
      </c>
      <c r="H23" s="32">
        <f>SUM(Budget13[FTA Consultant Costs])</f>
        <v>354209.27500000002</v>
      </c>
      <c r="I23" s="32">
        <f>SUM(Budget13[FHWA_Staff_Other])</f>
        <v>637427.59532027144</v>
      </c>
      <c r="J23" s="32">
        <f>SUM(Budget13[FTA_Staff_Other])</f>
        <v>318692.53709495324</v>
      </c>
    </row>
  </sheetData>
  <phoneticPr fontId="4"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38FEB-1939-42AB-BDAE-A63499AE6068}">
  <dimension ref="A1:D8"/>
  <sheetViews>
    <sheetView topLeftCell="A7" workbookViewId="0">
      <selection activeCell="C2" sqref="C2"/>
    </sheetView>
  </sheetViews>
  <sheetFormatPr defaultColWidth="60.5703125" defaultRowHeight="15" x14ac:dyDescent="0.25"/>
  <cols>
    <col min="1" max="1" width="7.28515625" bestFit="1" customWidth="1"/>
    <col min="2" max="2" width="35.28515625" bestFit="1" customWidth="1"/>
  </cols>
  <sheetData>
    <row r="1" spans="1:4" x14ac:dyDescent="0.25">
      <c r="A1" t="s">
        <v>38</v>
      </c>
      <c r="B1" t="s">
        <v>25</v>
      </c>
      <c r="C1" t="s">
        <v>145</v>
      </c>
      <c r="D1" t="s">
        <v>148</v>
      </c>
    </row>
    <row r="2" spans="1:4" ht="171.75" x14ac:dyDescent="0.25">
      <c r="A2" s="16" t="s">
        <v>39</v>
      </c>
      <c r="B2" s="16" t="s">
        <v>31</v>
      </c>
      <c r="C2" s="27" t="s">
        <v>140</v>
      </c>
      <c r="D2" s="16" t="s">
        <v>149</v>
      </c>
    </row>
    <row r="3" spans="1:4" ht="186" x14ac:dyDescent="0.25">
      <c r="A3" s="16" t="s">
        <v>40</v>
      </c>
      <c r="B3" s="16" t="s">
        <v>32</v>
      </c>
      <c r="C3" s="27" t="s">
        <v>141</v>
      </c>
      <c r="D3" s="16" t="s">
        <v>149</v>
      </c>
    </row>
    <row r="4" spans="1:4" ht="171.75" x14ac:dyDescent="0.25">
      <c r="A4" s="16" t="s">
        <v>41</v>
      </c>
      <c r="B4" s="16" t="s">
        <v>33</v>
      </c>
      <c r="C4" s="27" t="s">
        <v>142</v>
      </c>
      <c r="D4" s="16" t="s">
        <v>149</v>
      </c>
    </row>
    <row r="5" spans="1:4" ht="105" x14ac:dyDescent="0.25">
      <c r="A5" s="16" t="s">
        <v>42</v>
      </c>
      <c r="B5" s="16" t="s">
        <v>34</v>
      </c>
      <c r="C5" s="17" t="s">
        <v>146</v>
      </c>
      <c r="D5" s="16" t="s">
        <v>149</v>
      </c>
    </row>
    <row r="6" spans="1:4" ht="105" x14ac:dyDescent="0.25">
      <c r="A6" s="16" t="s">
        <v>43</v>
      </c>
      <c r="B6" s="16" t="s">
        <v>35</v>
      </c>
      <c r="C6" s="17" t="s">
        <v>147</v>
      </c>
      <c r="D6" s="16" t="s">
        <v>149</v>
      </c>
    </row>
    <row r="7" spans="1:4" ht="100.5" x14ac:dyDescent="0.25">
      <c r="A7" s="16" t="s">
        <v>44</v>
      </c>
      <c r="B7" s="16" t="s">
        <v>36</v>
      </c>
      <c r="C7" s="27" t="s">
        <v>143</v>
      </c>
      <c r="D7" s="16" t="s">
        <v>150</v>
      </c>
    </row>
    <row r="8" spans="1:4" ht="143.25" x14ac:dyDescent="0.25">
      <c r="A8" s="16" t="s">
        <v>45</v>
      </c>
      <c r="B8" s="16" t="s">
        <v>37</v>
      </c>
      <c r="C8" s="27" t="s">
        <v>144</v>
      </c>
      <c r="D8" s="16" t="s">
        <v>150</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95839-044D-4D85-951E-0EC0CF5D7FCB}">
  <dimension ref="A1:J23"/>
  <sheetViews>
    <sheetView workbookViewId="0">
      <selection activeCell="G23" sqref="G23:J23"/>
    </sheetView>
  </sheetViews>
  <sheetFormatPr defaultRowHeight="15" x14ac:dyDescent="0.25"/>
  <cols>
    <col min="1" max="1" width="7" bestFit="1" customWidth="1"/>
    <col min="2" max="2" width="16.140625" bestFit="1" customWidth="1"/>
    <col min="3" max="3" width="33.5703125" bestFit="1" customWidth="1"/>
    <col min="4" max="4" width="11.28515625" bestFit="1" customWidth="1"/>
    <col min="5" max="5" width="16.7109375" bestFit="1" customWidth="1"/>
    <col min="6" max="6" width="15" bestFit="1" customWidth="1"/>
    <col min="7" max="7" width="22.42578125" bestFit="1" customWidth="1"/>
    <col min="8" max="8" width="21.140625" bestFit="1" customWidth="1"/>
    <col min="9" max="9" width="19.5703125" bestFit="1" customWidth="1"/>
    <col min="10" max="10" width="17.28515625" bestFit="1" customWidth="1"/>
  </cols>
  <sheetData>
    <row r="1" spans="1:10" x14ac:dyDescent="0.25">
      <c r="A1" t="s">
        <v>38</v>
      </c>
      <c r="B1" t="s">
        <v>21</v>
      </c>
      <c r="C1" t="s">
        <v>25</v>
      </c>
      <c r="D1" t="s">
        <v>77</v>
      </c>
      <c r="E1" t="s">
        <v>78</v>
      </c>
      <c r="F1" t="s">
        <v>79</v>
      </c>
      <c r="G1" t="s">
        <v>101</v>
      </c>
      <c r="H1" t="s">
        <v>102</v>
      </c>
      <c r="I1" t="s">
        <v>109</v>
      </c>
      <c r="J1" t="s">
        <v>108</v>
      </c>
    </row>
    <row r="2" spans="1:10" x14ac:dyDescent="0.25">
      <c r="A2" t="s">
        <v>39</v>
      </c>
      <c r="B2" t="s">
        <v>22</v>
      </c>
      <c r="C2" t="s">
        <v>31</v>
      </c>
      <c r="D2" s="10">
        <f>Budget[[#This Row],[Staff Cost]]-Budget13[[#This Row],[Staff Cost]]</f>
        <v>75947.982606958103</v>
      </c>
      <c r="E2" s="10">
        <f>Budget[[#This Row],[Direct Expenses]]-Budget13[[#This Row],[Direct Expenses]]</f>
        <v>46460.885646057432</v>
      </c>
      <c r="F2" s="10">
        <f>Budget[[#This Row],[Support Costs]]-Budget13[[#This Row],[Support Costs]]</f>
        <v>0</v>
      </c>
      <c r="G2" s="10">
        <f>Budget[[#This Row],[FHWA Consultant Cost]]-Budget13[[#This Row],[FHWA Consultant Cost]]</f>
        <v>0</v>
      </c>
      <c r="H2" s="10">
        <f>Budget[[#This Row],[FTA Consultant Costs]]-Budget13[[#This Row],[FTA Consultant Costs]]</f>
        <v>0</v>
      </c>
      <c r="I2" s="10">
        <f>Budget[[#This Row],[FHWA_Staff_Other]]-Budget13[[#This Row],[FHWA_Staff_Other]]</f>
        <v>81607.726781460631</v>
      </c>
      <c r="J2" s="10">
        <f>Budget[[#This Row],[FTA_Staff_Other]]-Budget13[[#This Row],[FTA_Staff_Other]]</f>
        <v>40801.141471554911</v>
      </c>
    </row>
    <row r="3" spans="1:10" x14ac:dyDescent="0.25">
      <c r="A3" t="s">
        <v>40</v>
      </c>
      <c r="B3" t="s">
        <v>22</v>
      </c>
      <c r="C3" t="s">
        <v>32</v>
      </c>
      <c r="D3" s="10">
        <f>Budget[[#This Row],[Staff Cost]]-Budget13[[#This Row],[Staff Cost]]</f>
        <v>21143.102997965034</v>
      </c>
      <c r="E3" s="10">
        <f>Budget[[#This Row],[Direct Expenses]]-Budget13[[#This Row],[Direct Expenses]]</f>
        <v>44193.326005044597</v>
      </c>
      <c r="F3" s="10">
        <f>Budget[[#This Row],[Support Costs]]-Budget13[[#This Row],[Support Costs]]</f>
        <v>0</v>
      </c>
      <c r="G3" s="10">
        <f>Budget[[#This Row],[FHWA Consultant Cost]]-Budget13[[#This Row],[FHWA Consultant Cost]]</f>
        <v>0</v>
      </c>
      <c r="H3" s="10">
        <f>Budget[[#This Row],[FTA Consultant Costs]]-Budget13[[#This Row],[FTA Consultant Costs]]</f>
        <v>0</v>
      </c>
      <c r="I3" s="10">
        <f>Budget[[#This Row],[FHWA_Staff_Other]]-Budget13[[#This Row],[FHWA_Staff_Other]]</f>
        <v>43558.5878952243</v>
      </c>
      <c r="J3" s="10">
        <f>Budget[[#This Row],[FTA_Staff_Other]]-Budget13[[#This Row],[FTA_Staff_Other]]</f>
        <v>21777.84110778532</v>
      </c>
    </row>
    <row r="4" spans="1:10" x14ac:dyDescent="0.25">
      <c r="A4" t="s">
        <v>41</v>
      </c>
      <c r="B4" t="s">
        <v>22</v>
      </c>
      <c r="C4" t="s">
        <v>33</v>
      </c>
      <c r="D4" s="10">
        <f>Budget[[#This Row],[Staff Cost]]-Budget13[[#This Row],[Staff Cost]]</f>
        <v>83339.337767028803</v>
      </c>
      <c r="E4" s="10">
        <f>Budget[[#This Row],[Direct Expenses]]-Budget13[[#This Row],[Direct Expenses]]</f>
        <v>3035.2313021698524</v>
      </c>
      <c r="F4" s="10">
        <f>Budget[[#This Row],[Support Costs]]-Budget13[[#This Row],[Support Costs]]</f>
        <v>20708.926170166684</v>
      </c>
      <c r="G4" s="10">
        <f>Budget[[#This Row],[FHWA Consultant Cost]]-Budget13[[#This Row],[FHWA Consultant Cost]]</f>
        <v>0</v>
      </c>
      <c r="H4" s="10">
        <f>Budget[[#This Row],[FTA Consultant Costs]]-Budget13[[#This Row],[FTA Consultant Costs]]</f>
        <v>0</v>
      </c>
      <c r="I4" s="10">
        <f>Budget[[#This Row],[FHWA_Staff_Other]]-Budget13[[#This Row],[FHWA_Staff_Other]]</f>
        <v>71390.5842527278</v>
      </c>
      <c r="J4" s="10">
        <f>Budget[[#This Row],[FTA_Staff_Other]]-Budget13[[#This Row],[FTA_Staff_Other]]</f>
        <v>35692.910986637507</v>
      </c>
    </row>
    <row r="5" spans="1:10" x14ac:dyDescent="0.25">
      <c r="A5" t="s">
        <v>42</v>
      </c>
      <c r="B5" t="s">
        <v>22</v>
      </c>
      <c r="C5" t="s">
        <v>34</v>
      </c>
      <c r="D5" s="10">
        <f>Budget[[#This Row],[Staff Cost]]-Budget13[[#This Row],[Staff Cost]]</f>
        <v>7665.9898874714736</v>
      </c>
      <c r="E5" s="10">
        <f>Budget[[#This Row],[Direct Expenses]]-Budget13[[#This Row],[Direct Expenses]]</f>
        <v>66920.693430183412</v>
      </c>
      <c r="F5" s="10">
        <f>Budget[[#This Row],[Support Costs]]-Budget13[[#This Row],[Support Costs]]</f>
        <v>0</v>
      </c>
      <c r="G5" s="10">
        <f>Budget[[#This Row],[FHWA Consultant Cost]]-Budget13[[#This Row],[FHWA Consultant Cost]]</f>
        <v>0</v>
      </c>
      <c r="H5" s="10">
        <f>Budget[[#This Row],[FTA Consultant Costs]]-Budget13[[#This Row],[FTA Consultant Costs]]</f>
        <v>0</v>
      </c>
      <c r="I5" s="10">
        <f>Budget[[#This Row],[FHWA_Staff_Other]]-Budget13[[#This Row],[FHWA_Staff_Other]]</f>
        <v>49725.561232550303</v>
      </c>
      <c r="J5" s="10">
        <f>Budget[[#This Row],[FTA_Staff_Other]]-Budget13[[#This Row],[FTA_Staff_Other]]</f>
        <v>24861.12208510458</v>
      </c>
    </row>
    <row r="6" spans="1:10" x14ac:dyDescent="0.25">
      <c r="A6" t="s">
        <v>43</v>
      </c>
      <c r="B6" t="s">
        <v>22</v>
      </c>
      <c r="C6" t="s">
        <v>35</v>
      </c>
      <c r="D6" s="10">
        <f>Budget[[#This Row],[Staff Cost]]-Budget13[[#This Row],[Staff Cost]]</f>
        <v>0</v>
      </c>
      <c r="E6" s="10">
        <f>Budget[[#This Row],[Direct Expenses]]-Budget13[[#This Row],[Direct Expenses]]</f>
        <v>23495.639546011265</v>
      </c>
      <c r="F6" s="10">
        <f>Budget[[#This Row],[Support Costs]]-Budget13[[#This Row],[Support Costs]]</f>
        <v>8013.5742110996143</v>
      </c>
      <c r="G6" s="10">
        <f>Budget[[#This Row],[FHWA Consultant Cost]]-Budget13[[#This Row],[FHWA Consultant Cost]]</f>
        <v>0</v>
      </c>
      <c r="H6" s="10">
        <f>Budget[[#This Row],[FTA Consultant Costs]]-Budget13[[#This Row],[FTA Consultant Costs]]</f>
        <v>0</v>
      </c>
      <c r="I6" s="10">
        <f>Budget[[#This Row],[FHWA_Staff_Other]]-Budget13[[#This Row],[FHWA_Staff_Other]]</f>
        <v>21006.609603431229</v>
      </c>
      <c r="J6" s="10">
        <f>Budget[[#This Row],[FTA_Staff_Other]]-Budget13[[#This Row],[FTA_Staff_Other]]</f>
        <v>10502.604153679644</v>
      </c>
    </row>
    <row r="7" spans="1:10" x14ac:dyDescent="0.25">
      <c r="A7" t="s">
        <v>44</v>
      </c>
      <c r="B7" t="s">
        <v>22</v>
      </c>
      <c r="C7" t="s">
        <v>36</v>
      </c>
      <c r="D7" s="10">
        <f>Budget[[#This Row],[Staff Cost]]-Budget13[[#This Row],[Staff Cost]]</f>
        <v>1704.6031745888358</v>
      </c>
      <c r="E7" s="10">
        <f>Budget[[#This Row],[Direct Expenses]]-Budget13[[#This Row],[Direct Expenses]]</f>
        <v>0</v>
      </c>
      <c r="F7" s="10">
        <f>Budget[[#This Row],[Support Costs]]-Budget13[[#This Row],[Support Costs]]</f>
        <v>34349.903002319916</v>
      </c>
      <c r="G7" s="10">
        <f>Budget[[#This Row],[FHWA Consultant Cost]]-Budget13[[#This Row],[FHWA Consultant Cost]]</f>
        <v>0</v>
      </c>
      <c r="H7" s="10">
        <f>Budget[[#This Row],[FTA Consultant Costs]]-Budget13[[#This Row],[FTA Consultant Costs]]</f>
        <v>0</v>
      </c>
      <c r="I7" s="10">
        <f>Budget[[#This Row],[FHWA_Staff_Other]]-Budget13[[#This Row],[FHWA_Staff_Other]]</f>
        <v>24036.871930258771</v>
      </c>
      <c r="J7" s="10">
        <f>Budget[[#This Row],[FTA_Staff_Other]]-Budget13[[#This Row],[FTA_Staff_Other]]</f>
        <v>12017.634246649974</v>
      </c>
    </row>
    <row r="8" spans="1:10" x14ac:dyDescent="0.25">
      <c r="A8" t="s">
        <v>45</v>
      </c>
      <c r="B8" t="s">
        <v>22</v>
      </c>
      <c r="C8" t="s">
        <v>37</v>
      </c>
      <c r="D8" s="10">
        <f>Budget[[#This Row],[Staff Cost]]-Budget13[[#This Row],[Staff Cost]]</f>
        <v>8718.4418035228373</v>
      </c>
      <c r="E8" s="10">
        <f>Budget[[#This Row],[Direct Expenses]]-Budget13[[#This Row],[Direct Expenses]]</f>
        <v>36627.931328436927</v>
      </c>
      <c r="F8" s="10">
        <f>Budget[[#This Row],[Support Costs]]-Budget13[[#This Row],[Support Costs]]</f>
        <v>1493.3667665203393</v>
      </c>
      <c r="G8" s="10">
        <f>Budget[[#This Row],[FHWA Consultant Cost]]-Budget13[[#This Row],[FHWA Consultant Cost]]</f>
        <v>72429.225000000006</v>
      </c>
      <c r="H8" s="10">
        <f>Budget[[#This Row],[FTA Consultant Costs]]-Budget13[[#This Row],[FTA Consultant Costs]]</f>
        <v>72429.225000000006</v>
      </c>
      <c r="I8" s="10">
        <f>Budget[[#This Row],[FHWA_Staff_Other]]-Budget13[[#This Row],[FHWA_Staff_Other]]</f>
        <v>31227.187627034335</v>
      </c>
      <c r="J8" s="10">
        <f>Budget[[#This Row],[FTA_Staff_Other]]-Budget13[[#This Row],[FTA_Staff_Other]]</f>
        <v>15612.552271445747</v>
      </c>
    </row>
    <row r="9" spans="1:10" x14ac:dyDescent="0.25">
      <c r="A9" t="s">
        <v>39</v>
      </c>
      <c r="B9" t="s">
        <v>23</v>
      </c>
      <c r="C9" t="s">
        <v>31</v>
      </c>
      <c r="D9" s="10">
        <f>Budget[[#This Row],[Staff Cost]]-Budget13[[#This Row],[Staff Cost]]</f>
        <v>0</v>
      </c>
      <c r="E9" s="10">
        <f>Budget[[#This Row],[Direct Expenses]]-Budget13[[#This Row],[Direct Expenses]]</f>
        <v>0</v>
      </c>
      <c r="F9" s="10">
        <f>Budget[[#This Row],[Support Costs]]-Budget13[[#This Row],[Support Costs]]</f>
        <v>14374.128472003291</v>
      </c>
      <c r="G9" s="10">
        <f>Budget[[#This Row],[FHWA Consultant Cost]]-Budget13[[#This Row],[FHWA Consultant Cost]]</f>
        <v>0</v>
      </c>
      <c r="H9" s="10">
        <f>Budget[[#This Row],[FTA Consultant Costs]]-Budget13[[#This Row],[FTA Consultant Costs]]</f>
        <v>0</v>
      </c>
      <c r="I9" s="10">
        <f>Budget[[#This Row],[FHWA_Staff_Other]]-Budget13[[#This Row],[FHWA_Staff_Other]]</f>
        <v>9582.9653995347744</v>
      </c>
      <c r="J9" s="10">
        <f>Budget[[#This Row],[FTA_Staff_Other]]-Budget13[[#This Row],[FTA_Staff_Other]]</f>
        <v>4791.1630724685156</v>
      </c>
    </row>
    <row r="10" spans="1:10" x14ac:dyDescent="0.25">
      <c r="A10" t="s">
        <v>40</v>
      </c>
      <c r="B10" t="s">
        <v>23</v>
      </c>
      <c r="C10" t="s">
        <v>32</v>
      </c>
      <c r="D10" s="10">
        <f>Budget[[#This Row],[Staff Cost]]-Budget13[[#This Row],[Staff Cost]]</f>
        <v>0</v>
      </c>
      <c r="E10" s="10">
        <f>Budget[[#This Row],[Direct Expenses]]-Budget13[[#This Row],[Direct Expenses]]</f>
        <v>0</v>
      </c>
      <c r="F10" s="10">
        <f>Budget[[#This Row],[Support Costs]]-Budget13[[#This Row],[Support Costs]]</f>
        <v>0</v>
      </c>
      <c r="G10" s="10">
        <f>Budget[[#This Row],[FHWA Consultant Cost]]-Budget13[[#This Row],[FHWA Consultant Cost]]</f>
        <v>0</v>
      </c>
      <c r="H10" s="10">
        <f>Budget[[#This Row],[FTA Consultant Costs]]-Budget13[[#This Row],[FTA Consultant Costs]]</f>
        <v>0</v>
      </c>
      <c r="I10" s="10">
        <f>Budget[[#This Row],[FHWA_Staff_Other]]-Budget13[[#This Row],[FHWA_Staff_Other]]</f>
        <v>0</v>
      </c>
      <c r="J10" s="10">
        <f>Budget[[#This Row],[FTA_Staff_Other]]-Budget13[[#This Row],[FTA_Staff_Other]]</f>
        <v>0</v>
      </c>
    </row>
    <row r="11" spans="1:10" x14ac:dyDescent="0.25">
      <c r="A11" t="s">
        <v>41</v>
      </c>
      <c r="B11" t="s">
        <v>23</v>
      </c>
      <c r="C11" t="s">
        <v>33</v>
      </c>
      <c r="D11" s="10">
        <f>Budget[[#This Row],[Staff Cost]]-Budget13[[#This Row],[Staff Cost]]</f>
        <v>24551.803708694322</v>
      </c>
      <c r="E11" s="10">
        <f>Budget[[#This Row],[Direct Expenses]]-Budget13[[#This Row],[Direct Expenses]]</f>
        <v>0</v>
      </c>
      <c r="F11" s="10">
        <f>Budget[[#This Row],[Support Costs]]-Budget13[[#This Row],[Support Costs]]</f>
        <v>217.83283633368592</v>
      </c>
      <c r="G11" s="10">
        <f>Budget[[#This Row],[FHWA Consultant Cost]]-Budget13[[#This Row],[FHWA Consultant Cost]]</f>
        <v>0</v>
      </c>
      <c r="H11" s="10">
        <f>Budget[[#This Row],[FTA Consultant Costs]]-Budget13[[#This Row],[FTA Consultant Costs]]</f>
        <v>0</v>
      </c>
      <c r="I11" s="10">
        <f>Budget[[#This Row],[FHWA_Staff_Other]]-Budget13[[#This Row],[FHWA_Staff_Other]]</f>
        <v>16513.458219910724</v>
      </c>
      <c r="J11" s="10">
        <f>Budget[[#This Row],[FTA_Staff_Other]]-Budget13[[#This Row],[FTA_Staff_Other]]</f>
        <v>8256.1783251172892</v>
      </c>
    </row>
    <row r="12" spans="1:10" x14ac:dyDescent="0.25">
      <c r="A12" t="s">
        <v>42</v>
      </c>
      <c r="B12" t="s">
        <v>23</v>
      </c>
      <c r="C12" t="s">
        <v>34</v>
      </c>
      <c r="D12" s="10">
        <f>Budget[[#This Row],[Staff Cost]]-Budget13[[#This Row],[Staff Cost]]</f>
        <v>0</v>
      </c>
      <c r="E12" s="10">
        <f>Budget[[#This Row],[Direct Expenses]]-Budget13[[#This Row],[Direct Expenses]]</f>
        <v>0</v>
      </c>
      <c r="F12" s="10">
        <f>Budget[[#This Row],[Support Costs]]-Budget13[[#This Row],[Support Costs]]</f>
        <v>0</v>
      </c>
      <c r="G12" s="10">
        <f>Budget[[#This Row],[FHWA Consultant Cost]]-Budget13[[#This Row],[FHWA Consultant Cost]]</f>
        <v>0</v>
      </c>
      <c r="H12" s="10">
        <f>Budget[[#This Row],[FTA Consultant Costs]]-Budget13[[#This Row],[FTA Consultant Costs]]</f>
        <v>0</v>
      </c>
      <c r="I12" s="10">
        <f>Budget[[#This Row],[FHWA_Staff_Other]]-Budget13[[#This Row],[FHWA_Staff_Other]]</f>
        <v>0</v>
      </c>
      <c r="J12" s="10">
        <f>Budget[[#This Row],[FTA_Staff_Other]]-Budget13[[#This Row],[FTA_Staff_Other]]</f>
        <v>0</v>
      </c>
    </row>
    <row r="13" spans="1:10" x14ac:dyDescent="0.25">
      <c r="A13" t="s">
        <v>43</v>
      </c>
      <c r="B13" t="s">
        <v>23</v>
      </c>
      <c r="C13" t="s">
        <v>35</v>
      </c>
      <c r="D13" s="10">
        <f>Budget[[#This Row],[Staff Cost]]-Budget13[[#This Row],[Staff Cost]]</f>
        <v>0</v>
      </c>
      <c r="E13" s="10">
        <f>Budget[[#This Row],[Direct Expenses]]-Budget13[[#This Row],[Direct Expenses]]</f>
        <v>37951.257862390885</v>
      </c>
      <c r="F13" s="10">
        <f>Budget[[#This Row],[Support Costs]]-Budget13[[#This Row],[Support Costs]]</f>
        <v>0</v>
      </c>
      <c r="G13" s="10">
        <f>Budget[[#This Row],[FHWA Consultant Cost]]-Budget13[[#This Row],[FHWA Consultant Cost]]</f>
        <v>0</v>
      </c>
      <c r="H13" s="10">
        <f>Budget[[#This Row],[FTA Consultant Costs]]-Budget13[[#This Row],[FTA Consultant Costs]]</f>
        <v>0</v>
      </c>
      <c r="I13" s="10">
        <f>Budget[[#This Row],[FHWA_Staff_Other]]-Budget13[[#This Row],[FHWA_Staff_Other]]</f>
        <v>25301.401171728074</v>
      </c>
      <c r="J13" s="10">
        <f>Budget[[#This Row],[FTA_Staff_Other]]-Budget13[[#This Row],[FTA_Staff_Other]]</f>
        <v>12649.856690662811</v>
      </c>
    </row>
    <row r="14" spans="1:10" x14ac:dyDescent="0.25">
      <c r="A14" t="s">
        <v>44</v>
      </c>
      <c r="B14" t="s">
        <v>23</v>
      </c>
      <c r="C14" t="s">
        <v>36</v>
      </c>
      <c r="D14" s="10">
        <f>Budget[[#This Row],[Staff Cost]]-Budget13[[#This Row],[Staff Cost]]</f>
        <v>260.51136391186265</v>
      </c>
      <c r="E14" s="10">
        <f>Budget[[#This Row],[Direct Expenses]]-Budget13[[#This Row],[Direct Expenses]]</f>
        <v>0</v>
      </c>
      <c r="F14" s="10">
        <f>Budget[[#This Row],[Support Costs]]-Budget13[[#This Row],[Support Costs]]</f>
        <v>0</v>
      </c>
      <c r="G14" s="10">
        <f>Budget[[#This Row],[FHWA Consultant Cost]]-Budget13[[#This Row],[FHWA Consultant Cost]]</f>
        <v>0</v>
      </c>
      <c r="H14" s="10">
        <f>Budget[[#This Row],[FTA Consultant Costs]]-Budget13[[#This Row],[FTA Consultant Costs]]</f>
        <v>0</v>
      </c>
      <c r="I14" s="10">
        <f>Budget[[#This Row],[FHWA_Staff_Other]]-Budget13[[#This Row],[FHWA_Staff_Other]]</f>
        <v>173.67810447884949</v>
      </c>
      <c r="J14" s="10">
        <f>Budget[[#This Row],[FTA_Staff_Other]]-Budget13[[#This Row],[FTA_Staff_Other]]</f>
        <v>86.833259433013154</v>
      </c>
    </row>
    <row r="15" spans="1:10" x14ac:dyDescent="0.25">
      <c r="A15" t="s">
        <v>45</v>
      </c>
      <c r="B15" t="s">
        <v>23</v>
      </c>
      <c r="C15" t="s">
        <v>37</v>
      </c>
      <c r="D15" s="10">
        <f>Budget[[#This Row],[Staff Cost]]-Budget13[[#This Row],[Staff Cost]]</f>
        <v>6211.2835421406635</v>
      </c>
      <c r="E15" s="10">
        <f>Budget[[#This Row],[Direct Expenses]]-Budget13[[#This Row],[Direct Expenses]]</f>
        <v>35182.018305602105</v>
      </c>
      <c r="F15" s="10">
        <f>Budget[[#This Row],[Support Costs]]-Budget13[[#This Row],[Support Costs]]</f>
        <v>20970.670415954879</v>
      </c>
      <c r="G15" s="10">
        <f>Budget[[#This Row],[FHWA Consultant Cost]]-Budget13[[#This Row],[FHWA Consultant Cost]]</f>
        <v>145289.09999999998</v>
      </c>
      <c r="H15" s="10">
        <f>Budget[[#This Row],[FTA Consultant Costs]]-Budget13[[#This Row],[FTA Consultant Costs]]</f>
        <v>0</v>
      </c>
      <c r="I15" s="10">
        <f>Budget[[#This Row],[FHWA_Staff_Other]]-Budget13[[#This Row],[FHWA_Staff_Other]]</f>
        <v>41576.906004741606</v>
      </c>
      <c r="J15" s="10">
        <f>Budget[[#This Row],[FTA_Staff_Other]]-Budget13[[#This Row],[FTA_Staff_Other]]</f>
        <v>20787.066258956042</v>
      </c>
    </row>
    <row r="16" spans="1:10" x14ac:dyDescent="0.25">
      <c r="A16" t="s">
        <v>39</v>
      </c>
      <c r="B16" t="s">
        <v>24</v>
      </c>
      <c r="C16" t="s">
        <v>31</v>
      </c>
      <c r="D16" s="10">
        <f>Budget[[#This Row],[Staff Cost]]-Budget13[[#This Row],[Staff Cost]]</f>
        <v>0</v>
      </c>
      <c r="E16" s="10">
        <f>Budget[[#This Row],[Direct Expenses]]-Budget13[[#This Row],[Direct Expenses]]</f>
        <v>0</v>
      </c>
      <c r="F16" s="10">
        <f>Budget[[#This Row],[Support Costs]]-Budget13[[#This Row],[Support Costs]]</f>
        <v>33521.538623027445</v>
      </c>
      <c r="G16" s="10">
        <f>Budget[[#This Row],[FHWA Consultant Cost]]-Budget13[[#This Row],[FHWA Consultant Cost]]</f>
        <v>0</v>
      </c>
      <c r="H16" s="10">
        <f>Budget[[#This Row],[FTA Consultant Costs]]-Budget13[[#This Row],[FTA Consultant Costs]]</f>
        <v>0</v>
      </c>
      <c r="I16" s="10">
        <f>Budget[[#This Row],[FHWA_Staff_Other]]-Budget13[[#This Row],[FHWA_Staff_Other]]</f>
        <v>22348.189345136045</v>
      </c>
      <c r="J16" s="10">
        <f>Budget[[#This Row],[FTA_Staff_Other]]-Budget13[[#This Row],[FTA_Staff_Other]]</f>
        <v>11173.349277891402</v>
      </c>
    </row>
    <row r="17" spans="1:10" x14ac:dyDescent="0.25">
      <c r="A17" t="s">
        <v>40</v>
      </c>
      <c r="B17" t="s">
        <v>24</v>
      </c>
      <c r="C17" t="s">
        <v>32</v>
      </c>
      <c r="D17" s="10">
        <f>Budget[[#This Row],[Staff Cost]]-Budget13[[#This Row],[Staff Cost]]</f>
        <v>34637.029951456643</v>
      </c>
      <c r="E17" s="10">
        <f>Budget[[#This Row],[Direct Expenses]]-Budget13[[#This Row],[Direct Expenses]]</f>
        <v>0</v>
      </c>
      <c r="F17" s="10">
        <f>Budget[[#This Row],[Support Costs]]-Budget13[[#This Row],[Support Costs]]</f>
        <v>2039.2244327040207</v>
      </c>
      <c r="G17" s="10">
        <f>Budget[[#This Row],[FHWA Consultant Cost]]-Budget13[[#This Row],[FHWA Consultant Cost]]</f>
        <v>0</v>
      </c>
      <c r="H17" s="10">
        <f>Budget[[#This Row],[FTA Consultant Costs]]-Budget13[[#This Row],[FTA Consultant Costs]]</f>
        <v>0</v>
      </c>
      <c r="I17" s="10">
        <f>Budget[[#This Row],[FHWA_Staff_Other]]-Budget13[[#This Row],[FHWA_Staff_Other]]</f>
        <v>24451.379952009294</v>
      </c>
      <c r="J17" s="10">
        <f>Budget[[#This Row],[FTA_Staff_Other]]-Budget13[[#This Row],[FTA_Staff_Other]]</f>
        <v>12224.874432151371</v>
      </c>
    </row>
    <row r="18" spans="1:10" x14ac:dyDescent="0.25">
      <c r="A18" t="s">
        <v>41</v>
      </c>
      <c r="B18" t="s">
        <v>24</v>
      </c>
      <c r="C18" t="s">
        <v>33</v>
      </c>
      <c r="D18" s="10">
        <f>Budget[[#This Row],[Staff Cost]]-Budget13[[#This Row],[Staff Cost]]</f>
        <v>0</v>
      </c>
      <c r="E18" s="10">
        <f>Budget[[#This Row],[Direct Expenses]]-Budget13[[#This Row],[Direct Expenses]]</f>
        <v>0</v>
      </c>
      <c r="F18" s="10">
        <f>Budget[[#This Row],[Support Costs]]-Budget13[[#This Row],[Support Costs]]</f>
        <v>0</v>
      </c>
      <c r="G18" s="10">
        <f>Budget[[#This Row],[FHWA Consultant Cost]]-Budget13[[#This Row],[FHWA Consultant Cost]]</f>
        <v>0</v>
      </c>
      <c r="H18" s="10">
        <f>Budget[[#This Row],[FTA Consultant Costs]]-Budget13[[#This Row],[FTA Consultant Costs]]</f>
        <v>0</v>
      </c>
      <c r="I18" s="10">
        <f>Budget[[#This Row],[FHWA_Staff_Other]]-Budget13[[#This Row],[FHWA_Staff_Other]]</f>
        <v>0</v>
      </c>
      <c r="J18" s="10">
        <f>Budget[[#This Row],[FTA_Staff_Other]]-Budget13[[#This Row],[FTA_Staff_Other]]</f>
        <v>0</v>
      </c>
    </row>
    <row r="19" spans="1:10" x14ac:dyDescent="0.25">
      <c r="A19" t="s">
        <v>42</v>
      </c>
      <c r="B19" t="s">
        <v>24</v>
      </c>
      <c r="C19" t="s">
        <v>34</v>
      </c>
      <c r="D19" s="10">
        <f>Budget[[#This Row],[Staff Cost]]-Budget13[[#This Row],[Staff Cost]]</f>
        <v>9591.6518773026764</v>
      </c>
      <c r="E19" s="10">
        <f>Budget[[#This Row],[Direct Expenses]]-Budget13[[#This Row],[Direct Expenses]]</f>
        <v>0</v>
      </c>
      <c r="F19" s="10">
        <f>Budget[[#This Row],[Support Costs]]-Budget13[[#This Row],[Support Costs]]</f>
        <v>0</v>
      </c>
      <c r="G19" s="10">
        <f>Budget[[#This Row],[FHWA Consultant Cost]]-Budget13[[#This Row],[FHWA Consultant Cost]]</f>
        <v>0</v>
      </c>
      <c r="H19" s="10">
        <f>Budget[[#This Row],[FTA Consultant Costs]]-Budget13[[#This Row],[FTA Consultant Costs]]</f>
        <v>0</v>
      </c>
      <c r="I19" s="10">
        <f>Budget[[#This Row],[FHWA_Staff_Other]]-Budget13[[#This Row],[FHWA_Staff_Other]]</f>
        <v>6394.576773374567</v>
      </c>
      <c r="J19" s="10">
        <f>Budget[[#This Row],[FTA_Staff_Other]]-Budget13[[#This Row],[FTA_Staff_Other]]</f>
        <v>3197.0751039281095</v>
      </c>
    </row>
    <row r="20" spans="1:10" x14ac:dyDescent="0.25">
      <c r="A20" t="s">
        <v>43</v>
      </c>
      <c r="B20" t="s">
        <v>24</v>
      </c>
      <c r="C20" t="s">
        <v>35</v>
      </c>
      <c r="D20" s="10">
        <f>Budget[[#This Row],[Staff Cost]]-Budget13[[#This Row],[Staff Cost]]</f>
        <v>0</v>
      </c>
      <c r="E20" s="10">
        <f>Budget[[#This Row],[Direct Expenses]]-Budget13[[#This Row],[Direct Expenses]]</f>
        <v>17237.428772784599</v>
      </c>
      <c r="F20" s="10">
        <f>Budget[[#This Row],[Support Costs]]-Budget13[[#This Row],[Support Costs]]</f>
        <v>0</v>
      </c>
      <c r="G20" s="10">
        <f>Budget[[#This Row],[FHWA Consultant Cost]]-Budget13[[#This Row],[FHWA Consultant Cost]]</f>
        <v>0</v>
      </c>
      <c r="H20" s="10">
        <f>Budget[[#This Row],[FTA Consultant Costs]]-Budget13[[#This Row],[FTA Consultant Costs]]</f>
        <v>0</v>
      </c>
      <c r="I20" s="10">
        <f>Budget[[#This Row],[FHWA_Staff_Other]]-Budget13[[#This Row],[FHWA_Staff_Other]]</f>
        <v>11491.874712840827</v>
      </c>
      <c r="J20" s="10">
        <f>Budget[[#This Row],[FTA_Staff_Other]]-Budget13[[#This Row],[FTA_Staff_Other]]</f>
        <v>5745.5540599437709</v>
      </c>
    </row>
    <row r="21" spans="1:10" x14ac:dyDescent="0.25">
      <c r="A21" t="s">
        <v>44</v>
      </c>
      <c r="B21" t="s">
        <v>24</v>
      </c>
      <c r="C21" t="s">
        <v>36</v>
      </c>
      <c r="D21" s="10">
        <f>Budget[[#This Row],[Staff Cost]]-Budget13[[#This Row],[Staff Cost]]</f>
        <v>0</v>
      </c>
      <c r="E21" s="10">
        <f>Budget[[#This Row],[Direct Expenses]]-Budget13[[#This Row],[Direct Expenses]]</f>
        <v>0</v>
      </c>
      <c r="F21" s="10">
        <f>Budget[[#This Row],[Support Costs]]-Budget13[[#This Row],[Support Costs]]</f>
        <v>15850.686336447821</v>
      </c>
      <c r="G21" s="10">
        <f>Budget[[#This Row],[FHWA Consultant Cost]]-Budget13[[#This Row],[FHWA Consultant Cost]]</f>
        <v>84229</v>
      </c>
      <c r="H21" s="10">
        <f>Budget[[#This Row],[FTA Consultant Costs]]-Budget13[[#This Row],[FTA Consultant Costs]]</f>
        <v>0</v>
      </c>
      <c r="I21" s="10">
        <f>Budget[[#This Row],[FHWA_Staff_Other]]-Budget13[[#This Row],[FHWA_Staff_Other]]</f>
        <v>10567.359197944374</v>
      </c>
      <c r="J21" s="10">
        <f>Budget[[#This Row],[FTA_Staff_Other]]-Budget13[[#This Row],[FTA_Staff_Other]]</f>
        <v>5283.3271385034468</v>
      </c>
    </row>
    <row r="22" spans="1:10" x14ac:dyDescent="0.25">
      <c r="A22" t="s">
        <v>45</v>
      </c>
      <c r="B22" t="s">
        <v>24</v>
      </c>
      <c r="C22" t="s">
        <v>37</v>
      </c>
      <c r="D22" s="10">
        <f>Budget[[#This Row],[Staff Cost]]-Budget13[[#This Row],[Staff Cost]]</f>
        <v>5474.9400408967249</v>
      </c>
      <c r="E22" s="10">
        <f>Budget[[#This Row],[Direct Expenses]]-Budget13[[#This Row],[Direct Expenses]]</f>
        <v>8896.3261260161162</v>
      </c>
      <c r="F22" s="10">
        <f>Budget[[#This Row],[Support Costs]]-Budget13[[#This Row],[Support Costs]]</f>
        <v>13253.59927156254</v>
      </c>
      <c r="G22" s="10">
        <f>Budget[[#This Row],[FHWA Consultant Cost]]-Budget13[[#This Row],[FHWA Consultant Cost]]</f>
        <v>0</v>
      </c>
      <c r="H22" s="10">
        <f>Budget[[#This Row],[FTA Consultant Costs]]-Budget13[[#This Row],[FTA Consultant Costs]]</f>
        <v>0</v>
      </c>
      <c r="I22" s="10">
        <f>Budget[[#This Row],[FHWA_Staff_Other]]-Budget13[[#This Row],[FHWA_Staff_Other]]</f>
        <v>18416.986475342048</v>
      </c>
      <c r="J22" s="10">
        <f>Budget[[#This Row],[FTA_Staff_Other]]-Budget13[[#This Row],[FTA_Staff_Other]]</f>
        <v>9207.8789631333384</v>
      </c>
    </row>
    <row r="23" spans="1:10" x14ac:dyDescent="0.25">
      <c r="D23" s="32">
        <f>SUM(RemainingBalance[Staff Cost])</f>
        <v>279246.67872193799</v>
      </c>
      <c r="E23" s="32">
        <f>SUM(RemainingBalance[Direct Expenses])</f>
        <v>320000.73832469719</v>
      </c>
      <c r="F23" s="32">
        <f>SUM(RemainingBalance[Support Costs])</f>
        <v>164793.45053814023</v>
      </c>
      <c r="G23" s="32">
        <f>SUM(RemainingBalance[FHWA Consultant Cost])</f>
        <v>301947.32499999995</v>
      </c>
      <c r="H23" s="32">
        <f>SUM(RemainingBalance[FTA Consultant Costs])</f>
        <v>72429.225000000006</v>
      </c>
      <c r="I23" s="32">
        <f>SUM(RemainingBalance[FHWA_Staff_Other])</f>
        <v>509371.90467972867</v>
      </c>
      <c r="J23" s="32">
        <f>SUM(RemainingBalance[FTA_Staff_Other])</f>
        <v>254668.96290504679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01B6-6B19-42A6-B6FA-A0833DA1E051}">
  <dimension ref="A1:E5"/>
  <sheetViews>
    <sheetView workbookViewId="0">
      <selection activeCell="G14" sqref="G14"/>
    </sheetView>
  </sheetViews>
  <sheetFormatPr defaultRowHeight="15" x14ac:dyDescent="0.25"/>
  <cols>
    <col min="1" max="1" width="17" bestFit="1" customWidth="1"/>
    <col min="2" max="2" width="20.42578125" bestFit="1" customWidth="1"/>
    <col min="3" max="3" width="18" bestFit="1" customWidth="1"/>
    <col min="4" max="4" width="19.7109375" bestFit="1" customWidth="1"/>
    <col min="5" max="5" width="17.28515625" bestFit="1" customWidth="1"/>
  </cols>
  <sheetData>
    <row r="1" spans="1:5" x14ac:dyDescent="0.25">
      <c r="A1" s="1" t="s">
        <v>21</v>
      </c>
      <c r="B1" t="s">
        <v>109</v>
      </c>
      <c r="C1" t="s">
        <v>108</v>
      </c>
      <c r="D1" t="s">
        <v>111</v>
      </c>
      <c r="E1" t="s">
        <v>112</v>
      </c>
    </row>
    <row r="2" spans="1:5" x14ac:dyDescent="0.25">
      <c r="A2" s="2" t="s">
        <v>22</v>
      </c>
      <c r="B2" s="8">
        <f>SUMIFS(RemainingBalance[FHWA_Staff_Other],RemainingBalance[Agency],Table13[[#This Row],[Agency]])</f>
        <v>322553.12932268734</v>
      </c>
      <c r="C2" s="8">
        <f>SUMIFS(RemainingBalance[FTA_Staff_Other],RemainingBalance[Agency],Table13[[#This Row],[Agency]])</f>
        <v>161265.80632285768</v>
      </c>
      <c r="D2" s="8">
        <f>SUMIFS(RemainingBalance[FHWA Consultant Cost],RemainingBalance[Agency],Table13[[#This Row],[Agency]])</f>
        <v>72429.225000000006</v>
      </c>
      <c r="E2" s="8">
        <f>SUMIFS(RemainingBalance[FTA Consultant Costs],RemainingBalance[Agency],Table13[[#This Row],[Agency]])</f>
        <v>72429.225000000006</v>
      </c>
    </row>
    <row r="3" spans="1:5" x14ac:dyDescent="0.25">
      <c r="A3" s="15" t="s">
        <v>23</v>
      </c>
      <c r="B3" s="8">
        <f>SUMIFS(RemainingBalance[FHWA_Staff_Other],RemainingBalance[Agency],Table13[[#This Row],[Agency]])</f>
        <v>93148.408900394032</v>
      </c>
      <c r="C3" s="8">
        <f>SUMIFS(RemainingBalance[FTA_Staff_Other],RemainingBalance[Agency],Table13[[#This Row],[Agency]])</f>
        <v>46571.097606637675</v>
      </c>
      <c r="D3" s="8">
        <f>SUMIFS(RemainingBalance[FHWA Consultant Cost],RemainingBalance[Agency],Table13[[#This Row],[Agency]])</f>
        <v>145289.09999999998</v>
      </c>
      <c r="E3" s="8">
        <f>SUMIFS(RemainingBalance[FTA Consultant Costs],RemainingBalance[Agency],Table13[[#This Row],[Agency]])</f>
        <v>0</v>
      </c>
    </row>
    <row r="4" spans="1:5" x14ac:dyDescent="0.25">
      <c r="A4" s="2" t="s">
        <v>24</v>
      </c>
      <c r="B4" s="8">
        <f>SUMIFS(RemainingBalance[FHWA_Staff_Other],RemainingBalance[Agency],Table13[[#This Row],[Agency]])</f>
        <v>93670.366456647142</v>
      </c>
      <c r="C4" s="8">
        <f>SUMIFS(RemainingBalance[FTA_Staff_Other],RemainingBalance[Agency],Table13[[#This Row],[Agency]])</f>
        <v>46832.058975551437</v>
      </c>
      <c r="D4" s="8">
        <f>SUMIFS(RemainingBalance[FHWA Consultant Cost],RemainingBalance[Agency],Table13[[#This Row],[Agency]])</f>
        <v>84229</v>
      </c>
      <c r="E4" s="8">
        <f>SUMIFS(RemainingBalance[FTA Consultant Costs],RemainingBalance[Agency],Table13[[#This Row],[Agency]])</f>
        <v>0</v>
      </c>
    </row>
    <row r="5" spans="1:5" x14ac:dyDescent="0.25">
      <c r="B5" s="35">
        <f>SUM(Table13[FHWA_Staff_Other])</f>
        <v>509371.90467972856</v>
      </c>
      <c r="C5" s="35">
        <f>SUM(Table13[FTA_Staff_Other])</f>
        <v>254668.96290504682</v>
      </c>
      <c r="D5" s="35">
        <f>SUM(Table13[FHWA_Consultant])</f>
        <v>301947.32499999995</v>
      </c>
      <c r="E5" s="35">
        <f>SUM(Table13[FTA_Consultant])</f>
        <v>72429.225000000006</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5317-AEC8-44D3-BDE3-A31F9ED73ECF}">
  <dimension ref="A1:J8"/>
  <sheetViews>
    <sheetView workbookViewId="0">
      <selection activeCell="J4" sqref="J4"/>
    </sheetView>
  </sheetViews>
  <sheetFormatPr defaultRowHeight="15" x14ac:dyDescent="0.25"/>
  <cols>
    <col min="1" max="1" width="13.5703125" bestFit="1" customWidth="1"/>
    <col min="2" max="2" width="11.140625" bestFit="1" customWidth="1"/>
    <col min="3" max="3" width="9.5703125" bestFit="1" customWidth="1"/>
    <col min="4" max="4" width="17" bestFit="1" customWidth="1"/>
    <col min="5" max="5" width="10" bestFit="1" customWidth="1"/>
    <col min="6" max="6" width="15.140625" bestFit="1" customWidth="1"/>
    <col min="7" max="7" width="10.85546875" bestFit="1" customWidth="1"/>
    <col min="8" max="8" width="8.5703125" bestFit="1" customWidth="1"/>
    <col min="9" max="9" width="24.140625" bestFit="1" customWidth="1"/>
    <col min="10" max="10" width="21.7109375" bestFit="1" customWidth="1"/>
  </cols>
  <sheetData>
    <row r="1" spans="1:10" x14ac:dyDescent="0.25">
      <c r="A1" t="s">
        <v>56</v>
      </c>
      <c r="B1" t="s">
        <v>57</v>
      </c>
      <c r="C1" t="s">
        <v>25</v>
      </c>
      <c r="D1" t="s">
        <v>21</v>
      </c>
      <c r="E1" t="s">
        <v>64</v>
      </c>
      <c r="F1" t="s">
        <v>110</v>
      </c>
      <c r="G1" t="s">
        <v>75</v>
      </c>
      <c r="H1" t="s">
        <v>76</v>
      </c>
      <c r="I1" t="s">
        <v>103</v>
      </c>
      <c r="J1" t="s">
        <v>104</v>
      </c>
    </row>
    <row r="2" spans="1:10" x14ac:dyDescent="0.25">
      <c r="A2" t="s">
        <v>74</v>
      </c>
      <c r="B2" t="s">
        <v>70</v>
      </c>
      <c r="C2" t="s">
        <v>39</v>
      </c>
      <c r="D2" t="s">
        <v>22</v>
      </c>
      <c r="E2" s="10">
        <f>ConsultantYr1[[#This Row],[Cost]]-ConsultantCharges[[#This Row],[Cost]]</f>
        <v>0</v>
      </c>
      <c r="F2" s="9">
        <v>1</v>
      </c>
      <c r="G2" s="9">
        <v>0</v>
      </c>
      <c r="H2" s="9">
        <f>1-ConsultantCharges24[[#This Row],[FHWA %]]</f>
        <v>1</v>
      </c>
      <c r="I2" s="11">
        <f>ConsultantYr1[[#This Row],[FHWA_Consultant Cost]]-ConsultantCharges[[#This Row],[FHWA_Consultant Cost]]</f>
        <v>0</v>
      </c>
      <c r="J2" s="11">
        <f>ConsultantYr1[[#This Row],[FTA_Consultant Cost]]-ConsultantCharges[[#This Row],[FTA_Consultant Cost]]</f>
        <v>0</v>
      </c>
    </row>
    <row r="3" spans="1:10" x14ac:dyDescent="0.25">
      <c r="A3" t="s">
        <v>74</v>
      </c>
      <c r="B3" t="s">
        <v>70</v>
      </c>
      <c r="C3" t="s">
        <v>45</v>
      </c>
      <c r="D3" t="s">
        <v>23</v>
      </c>
      <c r="E3" s="10">
        <f>ConsultantYr1[[#This Row],[Cost]]-ConsultantCharges[[#This Row],[Cost]]</f>
        <v>145289.09999999998</v>
      </c>
      <c r="F3" s="19">
        <v>0.45</v>
      </c>
      <c r="G3" s="9">
        <v>1</v>
      </c>
      <c r="H3" s="9">
        <f>1-ConsultantCharges24[[#This Row],[FHWA %]]</f>
        <v>0</v>
      </c>
      <c r="I3" s="11">
        <f>ConsultantYr1[[#This Row],[FHWA_Consultant Cost]]-ConsultantCharges[[#This Row],[FHWA_Consultant Cost]]</f>
        <v>145289.09999999998</v>
      </c>
      <c r="J3" s="11">
        <f>ConsultantYr1[[#This Row],[FTA_Consultant Cost]]-ConsultantCharges[[#This Row],[FTA_Consultant Cost]]</f>
        <v>0</v>
      </c>
    </row>
    <row r="4" spans="1:10" x14ac:dyDescent="0.25">
      <c r="A4" t="s">
        <v>74</v>
      </c>
      <c r="B4" t="s">
        <v>70</v>
      </c>
      <c r="C4" t="s">
        <v>44</v>
      </c>
      <c r="D4" t="s">
        <v>24</v>
      </c>
      <c r="E4" s="10">
        <f>ConsultantYr1[[#This Row],[Cost]]-ConsultantCharges[[#This Row],[Cost]]</f>
        <v>84229</v>
      </c>
      <c r="F4" s="9">
        <v>0.5</v>
      </c>
      <c r="G4" s="9">
        <v>1</v>
      </c>
      <c r="H4" s="9">
        <f>1-ConsultantCharges24[[#This Row],[FHWA %]]</f>
        <v>0</v>
      </c>
      <c r="I4" s="11">
        <f>ConsultantYr1[[#This Row],[FHWA_Consultant Cost]]-ConsultantCharges[[#This Row],[FHWA_Consultant Cost]]</f>
        <v>84229</v>
      </c>
      <c r="J4" s="11">
        <f>ConsultantYr1[[#This Row],[FTA_Consultant Cost]]-ConsultantCharges[[#This Row],[FTA_Consultant Cost]]</f>
        <v>0</v>
      </c>
    </row>
    <row r="5" spans="1:10" x14ac:dyDescent="0.25">
      <c r="A5" t="s">
        <v>74</v>
      </c>
      <c r="B5" t="s">
        <v>70</v>
      </c>
      <c r="C5" t="s">
        <v>45</v>
      </c>
      <c r="D5" t="s">
        <v>22</v>
      </c>
      <c r="E5" s="10">
        <f>ConsultantYr1[[#This Row],[Cost]]-ConsultantCharges[[#This Row],[Cost]]</f>
        <v>144858.45000000001</v>
      </c>
      <c r="F5" s="9">
        <v>0.45</v>
      </c>
      <c r="G5" s="9">
        <v>0.5</v>
      </c>
      <c r="H5" s="9">
        <f>1-ConsultantCharges24[[#This Row],[FHWA %]]</f>
        <v>0.5</v>
      </c>
      <c r="I5" s="11">
        <f>ConsultantYr1[[#This Row],[FHWA_Consultant Cost]]-ConsultantCharges[[#This Row],[FHWA_Consultant Cost]]</f>
        <v>72429.225000000006</v>
      </c>
      <c r="J5" s="11">
        <f>ConsultantYr1[[#This Row],[FTA_Consultant Cost]]-ConsultantCharges[[#This Row],[FTA_Consultant Cost]]</f>
        <v>72429.225000000006</v>
      </c>
    </row>
    <row r="6" spans="1:10" x14ac:dyDescent="0.25">
      <c r="A6" t="s">
        <v>74</v>
      </c>
      <c r="B6" t="s">
        <v>70</v>
      </c>
      <c r="C6" t="s">
        <v>40</v>
      </c>
      <c r="D6" t="s">
        <v>23</v>
      </c>
      <c r="E6" s="10">
        <f>ConsultantYr1[[#This Row],[Cost]]-ConsultantCharges[[#This Row],[Cost]]</f>
        <v>0</v>
      </c>
      <c r="F6" s="9">
        <v>1</v>
      </c>
      <c r="G6" s="9">
        <v>1</v>
      </c>
      <c r="H6" s="9">
        <f>1-ConsultantCharges24[[#This Row],[FHWA %]]</f>
        <v>0</v>
      </c>
      <c r="I6" s="11">
        <f>ConsultantYr1[[#This Row],[FHWA_Consultant Cost]]-ConsultantCharges[[#This Row],[FHWA_Consultant Cost]]</f>
        <v>0</v>
      </c>
      <c r="J6" s="11">
        <f>ConsultantYr1[[#This Row],[FTA_Consultant Cost]]-ConsultantCharges[[#This Row],[FTA_Consultant Cost]]</f>
        <v>0</v>
      </c>
    </row>
    <row r="7" spans="1:10" x14ac:dyDescent="0.25">
      <c r="A7" t="s">
        <v>74</v>
      </c>
      <c r="B7" t="s">
        <v>70</v>
      </c>
      <c r="C7" t="s">
        <v>41</v>
      </c>
      <c r="D7" t="s">
        <v>24</v>
      </c>
      <c r="E7" s="10">
        <f>ConsultantYr1[[#This Row],[Cost]]-ConsultantCharges[[#This Row],[Cost]]</f>
        <v>0</v>
      </c>
      <c r="F7" s="9">
        <v>1</v>
      </c>
      <c r="G7" s="9">
        <v>1</v>
      </c>
      <c r="H7" s="9">
        <f>1-ConsultantCharges24[[#This Row],[FHWA %]]</f>
        <v>0</v>
      </c>
      <c r="I7" s="11">
        <f>ConsultantYr1[[#This Row],[FHWA_Consultant Cost]]-ConsultantCharges[[#This Row],[FHWA_Consultant Cost]]</f>
        <v>0</v>
      </c>
      <c r="J7" s="11">
        <f>ConsultantYr1[[#This Row],[FTA_Consultant Cost]]-ConsultantCharges[[#This Row],[FTA_Consultant Cost]]</f>
        <v>0</v>
      </c>
    </row>
    <row r="8" spans="1:10" x14ac:dyDescent="0.25">
      <c r="E8" s="24">
        <f>SUM(ConsultantCharges24[Cost])</f>
        <v>374376.55</v>
      </c>
      <c r="F8" s="24"/>
      <c r="G8" s="24"/>
      <c r="H8" s="24"/>
      <c r="I8" s="24">
        <f>SUM(ConsultantCharges24[FHWA_Consultant Cost])</f>
        <v>301947.32499999995</v>
      </c>
      <c r="J8" s="24">
        <f>SUM(ConsultantCharges24[FTA_Consultant Cost])</f>
        <v>72429.225000000006</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2689F-9667-4C36-9D1C-D83216A603FE}">
  <dimension ref="A1:I3"/>
  <sheetViews>
    <sheetView workbookViewId="0">
      <selection activeCell="B2" sqref="B2:B3"/>
    </sheetView>
  </sheetViews>
  <sheetFormatPr defaultRowHeight="15" x14ac:dyDescent="0.25"/>
  <cols>
    <col min="1" max="1" width="17" bestFit="1" customWidth="1"/>
    <col min="2" max="2" width="19.85546875" customWidth="1"/>
    <col min="3" max="3" width="17.7109375" customWidth="1"/>
    <col min="4" max="4" width="14.5703125" customWidth="1"/>
    <col min="5" max="5" width="17.42578125" customWidth="1"/>
    <col min="12" max="12" width="17" bestFit="1" customWidth="1"/>
    <col min="13" max="13" width="20.42578125" bestFit="1" customWidth="1"/>
    <col min="14" max="14" width="18" bestFit="1" customWidth="1"/>
  </cols>
  <sheetData>
    <row r="1" spans="1:9" x14ac:dyDescent="0.25">
      <c r="A1" t="s">
        <v>96</v>
      </c>
      <c r="B1" t="s">
        <v>95</v>
      </c>
      <c r="C1" t="s">
        <v>105</v>
      </c>
      <c r="D1" t="s">
        <v>106</v>
      </c>
      <c r="E1" t="s">
        <v>107</v>
      </c>
      <c r="G1" s="1" t="s">
        <v>96</v>
      </c>
      <c r="H1" s="2" t="s">
        <v>97</v>
      </c>
      <c r="I1" s="3" t="s">
        <v>98</v>
      </c>
    </row>
    <row r="2" spans="1:9" x14ac:dyDescent="0.25">
      <c r="A2" t="s">
        <v>98</v>
      </c>
      <c r="B2" s="10">
        <v>5000000</v>
      </c>
      <c r="C2" s="10">
        <f>SUMIFS(ConsultantYr2[FHWA_Consultant Cost],ConsultantYr2[Funds Year],2022)</f>
        <v>1500000</v>
      </c>
      <c r="D2" s="12">
        <f>RevenueYR2[[#This Row],[Revenue]]-RevenueYR2[[#This Row],[Dedicated]]</f>
        <v>3500000</v>
      </c>
      <c r="E2" s="13">
        <f>RevenueYR2[[#This Row],[Remaining]]/SUM(RevenueYR2[Remaining])</f>
        <v>0.84337349397590367</v>
      </c>
      <c r="G2" t="s">
        <v>99</v>
      </c>
      <c r="H2" s="14">
        <f>E3</f>
        <v>0.15662650602409639</v>
      </c>
      <c r="I2" s="14">
        <f>RevenueYR2[[#This Row],[Program Split]]</f>
        <v>0.84337349397590367</v>
      </c>
    </row>
    <row r="3" spans="1:9" x14ac:dyDescent="0.25">
      <c r="A3" t="s">
        <v>97</v>
      </c>
      <c r="B3" s="10">
        <v>1000000</v>
      </c>
      <c r="C3" s="10">
        <f>SUMIFS(ConsultantYr2[FTA_Consultant Cost],ConsultantYr2[Funds Year],2022)</f>
        <v>350000</v>
      </c>
      <c r="D3" s="12">
        <f>RevenueYR2[[#This Row],[Revenue]]-RevenueYR2[[#This Row],[Dedicated]]</f>
        <v>650000</v>
      </c>
      <c r="E3" s="13">
        <f>RevenueYR2[[#This Row],[Remaining]]/SUM(RevenueYR2[Remaining])</f>
        <v>0.15662650602409639</v>
      </c>
    </row>
  </sheetData>
  <pageMargins left="0.7" right="0.7" top="0.75" bottom="0.75" header="0.3" footer="0.3"/>
  <tableParts count="2">
    <tablePart r:id="rId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0657-C58D-4572-A27C-C773B4FC58B8}">
  <dimension ref="A1:H10"/>
  <sheetViews>
    <sheetView topLeftCell="A25" zoomScale="70" zoomScaleNormal="70" workbookViewId="0">
      <selection activeCell="H10" sqref="A1:H10"/>
    </sheetView>
  </sheetViews>
  <sheetFormatPr defaultRowHeight="15" x14ac:dyDescent="0.25"/>
  <cols>
    <col min="1" max="1" width="11.28515625" customWidth="1"/>
    <col min="2" max="2" width="38.28515625" bestFit="1" customWidth="1"/>
    <col min="3" max="4" width="34.85546875" style="5" customWidth="1"/>
    <col min="6" max="6" width="16.28515625" customWidth="1"/>
    <col min="7" max="8" width="18.140625" customWidth="1"/>
  </cols>
  <sheetData>
    <row r="1" spans="1:8" x14ac:dyDescent="0.25">
      <c r="A1" t="s">
        <v>38</v>
      </c>
      <c r="B1" t="s">
        <v>25</v>
      </c>
      <c r="C1" s="5" t="s">
        <v>81</v>
      </c>
      <c r="D1" s="5" t="s">
        <v>82</v>
      </c>
      <c r="E1" t="s">
        <v>27</v>
      </c>
      <c r="F1" t="s">
        <v>28</v>
      </c>
      <c r="G1" t="s">
        <v>29</v>
      </c>
      <c r="H1" t="s">
        <v>30</v>
      </c>
    </row>
    <row r="2" spans="1:8" ht="150" x14ac:dyDescent="0.25">
      <c r="A2" s="16" t="s">
        <v>113</v>
      </c>
      <c r="B2" s="16" t="s">
        <v>31</v>
      </c>
      <c r="C2" s="17" t="s">
        <v>83</v>
      </c>
      <c r="D2" s="17" t="s">
        <v>84</v>
      </c>
      <c r="E2" s="17" t="s">
        <v>47</v>
      </c>
      <c r="F2" s="17" t="s">
        <v>48</v>
      </c>
      <c r="G2" s="18">
        <v>44652</v>
      </c>
      <c r="H2" s="18">
        <f>Projects17[[#This Row],[Start Date]]+365</f>
        <v>45017</v>
      </c>
    </row>
    <row r="3" spans="1:8" ht="409.5" x14ac:dyDescent="0.25">
      <c r="A3" s="16" t="s">
        <v>124</v>
      </c>
      <c r="B3" s="16" t="s">
        <v>32</v>
      </c>
      <c r="C3" s="17" t="s">
        <v>86</v>
      </c>
      <c r="D3" s="17" t="s">
        <v>85</v>
      </c>
      <c r="E3" s="17" t="s">
        <v>47</v>
      </c>
      <c r="F3" s="17" t="s">
        <v>48</v>
      </c>
      <c r="G3" s="18">
        <v>44652</v>
      </c>
      <c r="H3" s="18">
        <f>Projects17[[#This Row],[Start Date]]+365</f>
        <v>45017</v>
      </c>
    </row>
    <row r="4" spans="1:8" ht="270" x14ac:dyDescent="0.25">
      <c r="A4" s="16" t="s">
        <v>114</v>
      </c>
      <c r="B4" s="16" t="s">
        <v>33</v>
      </c>
      <c r="C4" s="17" t="s">
        <v>88</v>
      </c>
      <c r="D4" s="17" t="s">
        <v>87</v>
      </c>
      <c r="E4" s="17" t="s">
        <v>47</v>
      </c>
      <c r="F4" s="17" t="s">
        <v>48</v>
      </c>
      <c r="G4" s="18">
        <v>44652</v>
      </c>
      <c r="H4" s="18">
        <f>Projects17[[#This Row],[Start Date]]+365</f>
        <v>45017</v>
      </c>
    </row>
    <row r="5" spans="1:8" ht="75" x14ac:dyDescent="0.25">
      <c r="A5" s="16" t="s">
        <v>115</v>
      </c>
      <c r="B5" s="16" t="s">
        <v>34</v>
      </c>
      <c r="C5" s="17" t="s">
        <v>89</v>
      </c>
      <c r="D5" s="17" t="s">
        <v>90</v>
      </c>
      <c r="E5" s="17" t="s">
        <v>47</v>
      </c>
      <c r="F5" s="17" t="s">
        <v>48</v>
      </c>
      <c r="G5" s="18">
        <v>44652</v>
      </c>
      <c r="H5" s="18">
        <f>Projects17[[#This Row],[Start Date]]+365</f>
        <v>45017</v>
      </c>
    </row>
    <row r="6" spans="1:8" ht="409.5" x14ac:dyDescent="0.25">
      <c r="A6" s="16" t="s">
        <v>116</v>
      </c>
      <c r="B6" s="16" t="s">
        <v>35</v>
      </c>
      <c r="C6" s="17" t="s">
        <v>91</v>
      </c>
      <c r="D6" s="17" t="s">
        <v>92</v>
      </c>
      <c r="E6" s="17" t="s">
        <v>47</v>
      </c>
      <c r="F6" s="17" t="s">
        <v>48</v>
      </c>
      <c r="G6" s="18">
        <v>44652</v>
      </c>
      <c r="H6" s="18">
        <f>Projects17[[#This Row],[Start Date]]+365</f>
        <v>45017</v>
      </c>
    </row>
    <row r="7" spans="1:8" ht="195" x14ac:dyDescent="0.25">
      <c r="A7" s="16" t="s">
        <v>44</v>
      </c>
      <c r="B7" s="16" t="s">
        <v>36</v>
      </c>
      <c r="C7" s="17" t="s">
        <v>93</v>
      </c>
      <c r="D7" s="17"/>
      <c r="E7" s="17" t="s">
        <v>47</v>
      </c>
      <c r="F7" s="17" t="s">
        <v>48</v>
      </c>
      <c r="G7" s="18">
        <v>44287</v>
      </c>
      <c r="H7" s="18">
        <f>Projects17[[#This Row],[Start Date]]+(365*2)</f>
        <v>45017</v>
      </c>
    </row>
    <row r="8" spans="1:8" ht="405" x14ac:dyDescent="0.25">
      <c r="A8" s="16" t="s">
        <v>45</v>
      </c>
      <c r="B8" s="16" t="s">
        <v>37</v>
      </c>
      <c r="C8" s="17" t="s">
        <v>94</v>
      </c>
      <c r="D8" s="17"/>
      <c r="E8" s="17" t="s">
        <v>47</v>
      </c>
      <c r="F8" s="17" t="s">
        <v>48</v>
      </c>
      <c r="G8" s="18">
        <v>44287</v>
      </c>
      <c r="H8" s="18">
        <f>Projects17[[#This Row],[Start Date]]+(365*2)</f>
        <v>45017</v>
      </c>
    </row>
    <row r="9" spans="1:8" x14ac:dyDescent="0.25">
      <c r="A9" s="16" t="s">
        <v>128</v>
      </c>
      <c r="B9" s="16" t="s">
        <v>125</v>
      </c>
      <c r="C9" s="17" t="s">
        <v>127</v>
      </c>
      <c r="D9" s="17"/>
      <c r="E9" s="16"/>
      <c r="F9" s="16"/>
      <c r="G9" s="18">
        <v>44652</v>
      </c>
      <c r="H9" s="18">
        <f>Projects17[[#This Row],[Start Date]]+(365*3)</f>
        <v>45747</v>
      </c>
    </row>
    <row r="10" spans="1:8" x14ac:dyDescent="0.25">
      <c r="A10" s="16" t="s">
        <v>129</v>
      </c>
      <c r="B10" s="16" t="s">
        <v>126</v>
      </c>
      <c r="C10" s="17"/>
      <c r="D10" s="17"/>
      <c r="E10" s="16"/>
      <c r="F10" s="16"/>
      <c r="G10" s="18">
        <v>44652</v>
      </c>
      <c r="H10" s="18">
        <f>Projects17[[#This Row],[Start Date]]+(365*2)</f>
        <v>45382</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DEB56-717B-4F1B-A5AA-D21428E398EE}">
  <dimension ref="A1:D15"/>
  <sheetViews>
    <sheetView workbookViewId="0">
      <selection activeCell="C6" sqref="C6"/>
    </sheetView>
  </sheetViews>
  <sheetFormatPr defaultRowHeight="15" x14ac:dyDescent="0.25"/>
  <cols>
    <col min="1" max="1" width="24.85546875" customWidth="1"/>
    <col min="2" max="2" width="26.5703125" bestFit="1" customWidth="1"/>
    <col min="3" max="3" width="8.5703125" bestFit="1" customWidth="1"/>
    <col min="4" max="4" width="17" bestFit="1" customWidth="1"/>
  </cols>
  <sheetData>
    <row r="1" spans="1:4" x14ac:dyDescent="0.25">
      <c r="A1" t="s">
        <v>12</v>
      </c>
      <c r="B1" t="s">
        <v>1</v>
      </c>
      <c r="C1" t="s">
        <v>0</v>
      </c>
      <c r="D1" t="s">
        <v>21</v>
      </c>
    </row>
    <row r="2" spans="1:4" ht="16.5" x14ac:dyDescent="0.25">
      <c r="A2" s="4" t="s">
        <v>2</v>
      </c>
      <c r="B2" t="s">
        <v>13</v>
      </c>
      <c r="C2" s="10">
        <v>1146</v>
      </c>
      <c r="D2" t="s">
        <v>22</v>
      </c>
    </row>
    <row r="3" spans="1:4" ht="16.5" x14ac:dyDescent="0.25">
      <c r="A3" s="4" t="s">
        <v>3</v>
      </c>
      <c r="B3" t="s">
        <v>14</v>
      </c>
      <c r="C3" s="10">
        <v>416</v>
      </c>
      <c r="D3" t="s">
        <v>22</v>
      </c>
    </row>
    <row r="4" spans="1:4" ht="16.5" x14ac:dyDescent="0.25">
      <c r="A4" s="4" t="s">
        <v>4</v>
      </c>
      <c r="B4" t="s">
        <v>15</v>
      </c>
      <c r="C4" s="10">
        <v>1466</v>
      </c>
      <c r="D4" t="s">
        <v>22</v>
      </c>
    </row>
    <row r="5" spans="1:4" ht="16.5" x14ac:dyDescent="0.25">
      <c r="A5" s="4" t="s">
        <v>5</v>
      </c>
      <c r="B5" t="s">
        <v>16</v>
      </c>
      <c r="C5" s="10">
        <v>614</v>
      </c>
      <c r="D5" t="s">
        <v>23</v>
      </c>
    </row>
    <row r="6" spans="1:4" ht="16.5" x14ac:dyDescent="0.25">
      <c r="A6" s="4" t="s">
        <v>6</v>
      </c>
      <c r="B6" t="s">
        <v>17</v>
      </c>
      <c r="C6" s="10">
        <v>936</v>
      </c>
      <c r="D6" t="s">
        <v>22</v>
      </c>
    </row>
    <row r="7" spans="1:4" ht="16.5" x14ac:dyDescent="0.25">
      <c r="A7" s="4" t="s">
        <v>7</v>
      </c>
      <c r="B7" t="s">
        <v>18</v>
      </c>
      <c r="C7" s="10">
        <v>1278</v>
      </c>
      <c r="D7" t="s">
        <v>23</v>
      </c>
    </row>
    <row r="8" spans="1:4" ht="16.5" x14ac:dyDescent="0.25">
      <c r="A8" s="4" t="s">
        <v>8</v>
      </c>
      <c r="B8" t="s">
        <v>19</v>
      </c>
      <c r="C8" s="10">
        <v>1493</v>
      </c>
      <c r="D8" t="s">
        <v>24</v>
      </c>
    </row>
    <row r="9" spans="1:4" ht="16.5" x14ac:dyDescent="0.25">
      <c r="A9" s="4" t="s">
        <v>9</v>
      </c>
      <c r="B9" t="s">
        <v>19</v>
      </c>
      <c r="C9" s="10">
        <v>1199</v>
      </c>
      <c r="D9" t="s">
        <v>24</v>
      </c>
    </row>
    <row r="10" spans="1:4" ht="16.5" x14ac:dyDescent="0.25">
      <c r="A10" s="4" t="s">
        <v>10</v>
      </c>
      <c r="B10" t="s">
        <v>20</v>
      </c>
      <c r="C10" s="10">
        <v>826</v>
      </c>
      <c r="D10" t="s">
        <v>22</v>
      </c>
    </row>
    <row r="11" spans="1:4" ht="16.5" x14ac:dyDescent="0.25">
      <c r="A11" s="4" t="s">
        <v>11</v>
      </c>
      <c r="B11" t="s">
        <v>20</v>
      </c>
      <c r="C11" s="10">
        <v>489</v>
      </c>
      <c r="D11" t="s">
        <v>22</v>
      </c>
    </row>
    <row r="12" spans="1:4" ht="16.5" x14ac:dyDescent="0.25">
      <c r="A12" s="4" t="s">
        <v>120</v>
      </c>
      <c r="B12" t="s">
        <v>117</v>
      </c>
      <c r="C12" s="10">
        <v>1617</v>
      </c>
      <c r="D12" t="s">
        <v>22</v>
      </c>
    </row>
    <row r="13" spans="1:4" ht="16.5" x14ac:dyDescent="0.25">
      <c r="A13" s="4" t="s">
        <v>121</v>
      </c>
      <c r="B13" t="s">
        <v>118</v>
      </c>
      <c r="C13" s="10">
        <v>1410</v>
      </c>
      <c r="D13" t="s">
        <v>23</v>
      </c>
    </row>
    <row r="14" spans="1:4" ht="16.5" x14ac:dyDescent="0.25">
      <c r="A14" s="4" t="s">
        <v>122</v>
      </c>
      <c r="B14" t="s">
        <v>118</v>
      </c>
      <c r="C14" s="10">
        <v>1138</v>
      </c>
      <c r="D14" t="s">
        <v>24</v>
      </c>
    </row>
    <row r="15" spans="1:4" ht="16.5" x14ac:dyDescent="0.25">
      <c r="A15" s="4" t="s">
        <v>123</v>
      </c>
      <c r="B15" t="s">
        <v>119</v>
      </c>
      <c r="C15" s="10">
        <v>1685</v>
      </c>
      <c r="D15" t="s">
        <v>22</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3767-9502-4250-A657-6C663987B24F}">
  <dimension ref="A1:I32"/>
  <sheetViews>
    <sheetView workbookViewId="0">
      <selection activeCell="E22" sqref="E22"/>
    </sheetView>
  </sheetViews>
  <sheetFormatPr defaultRowHeight="15" x14ac:dyDescent="0.25"/>
  <cols>
    <col min="1" max="1" width="23" customWidth="1"/>
    <col min="2" max="2" width="17" bestFit="1" customWidth="1"/>
    <col min="3" max="3" width="9.42578125" customWidth="1"/>
    <col min="4" max="4" width="15.7109375" customWidth="1"/>
    <col min="5" max="5" width="13.28515625" bestFit="1" customWidth="1"/>
  </cols>
  <sheetData>
    <row r="1" spans="1:5" x14ac:dyDescent="0.25">
      <c r="A1" t="s">
        <v>26</v>
      </c>
      <c r="B1" t="s">
        <v>21</v>
      </c>
      <c r="C1" t="s">
        <v>25</v>
      </c>
      <c r="D1" t="s">
        <v>46</v>
      </c>
      <c r="E1" t="s">
        <v>77</v>
      </c>
    </row>
    <row r="2" spans="1:5" x14ac:dyDescent="0.25">
      <c r="A2" t="s">
        <v>10</v>
      </c>
      <c r="B2" t="str">
        <f>INDEX(StaffYR1[],MATCH(StaffAllocYR2[[#This Row],[Staff]],StaffYR1[Name],0),4)</f>
        <v>MPO Staff</v>
      </c>
      <c r="C2" t="s">
        <v>44</v>
      </c>
      <c r="D2">
        <v>180</v>
      </c>
      <c r="E2">
        <f>INDEX(StaffYR1[],MATCH(StaffAllocYR2[[#This Row],[Staff]],StaffYR1[Name],0),3)*StaffAllocYR2[[#This Row],[Days Assigned]]</f>
        <v>148680</v>
      </c>
    </row>
    <row r="3" spans="1:5" x14ac:dyDescent="0.25">
      <c r="A3" t="s">
        <v>5</v>
      </c>
      <c r="B3" t="str">
        <f>INDEX(StaffYR1[],MATCH(StaffAllocYR2[[#This Row],[Staff]],StaffYR1[Name],0),4)</f>
        <v>Member Agency 1</v>
      </c>
      <c r="C3" t="s">
        <v>44</v>
      </c>
      <c r="D3">
        <v>193</v>
      </c>
      <c r="E3">
        <f>INDEX(StaffYR1[],MATCH(StaffAllocYR2[[#This Row],[Staff]],StaffYR1[Name],0),3)*StaffAllocYR2[[#This Row],[Days Assigned]]</f>
        <v>118502</v>
      </c>
    </row>
    <row r="4" spans="1:5" x14ac:dyDescent="0.25">
      <c r="A4" t="s">
        <v>2</v>
      </c>
      <c r="B4" t="str">
        <f>INDEX(StaffYR1[],MATCH(StaffAllocYR2[[#This Row],[Staff]],StaffYR1[Name],0),4)</f>
        <v>MPO Staff</v>
      </c>
      <c r="C4" t="s">
        <v>45</v>
      </c>
      <c r="D4">
        <v>100</v>
      </c>
      <c r="E4">
        <f>INDEX(StaffYR1[],MATCH(StaffAllocYR2[[#This Row],[Staff]],StaffYR1[Name],0),3)*StaffAllocYR2[[#This Row],[Days Assigned]]</f>
        <v>114600</v>
      </c>
    </row>
    <row r="5" spans="1:5" x14ac:dyDescent="0.25">
      <c r="A5" t="s">
        <v>7</v>
      </c>
      <c r="B5" t="str">
        <f>INDEX(StaffYR1[],MATCH(StaffAllocYR2[[#This Row],[Staff]],StaffYR1[Name],0),4)</f>
        <v>Member Agency 1</v>
      </c>
      <c r="C5" t="s">
        <v>45</v>
      </c>
      <c r="D5">
        <v>105</v>
      </c>
      <c r="E5">
        <f>INDEX(StaffYR1[],MATCH(StaffAllocYR2[[#This Row],[Staff]],StaffYR1[Name],0),3)*StaffAllocYR2[[#This Row],[Days Assigned]]</f>
        <v>134190</v>
      </c>
    </row>
    <row r="6" spans="1:5" x14ac:dyDescent="0.25">
      <c r="A6" t="s">
        <v>4</v>
      </c>
      <c r="B6" t="str">
        <f>INDEX(StaffYR1[],MATCH(StaffAllocYR2[[#This Row],[Staff]],StaffYR1[Name],0),4)</f>
        <v>MPO Staff</v>
      </c>
      <c r="C6" t="s">
        <v>45</v>
      </c>
      <c r="D6">
        <v>174</v>
      </c>
      <c r="E6">
        <f>INDEX(StaffYR1[],MATCH(StaffAllocYR2[[#This Row],[Staff]],StaffYR1[Name],0),3)*StaffAllocYR2[[#This Row],[Days Assigned]]</f>
        <v>255084</v>
      </c>
    </row>
    <row r="7" spans="1:5" x14ac:dyDescent="0.25">
      <c r="A7" t="s">
        <v>7</v>
      </c>
      <c r="B7" t="str">
        <f>INDEX(StaffYR1[],MATCH(StaffAllocYR2[[#This Row],[Staff]],StaffYR1[Name],0),4)</f>
        <v>Member Agency 1</v>
      </c>
      <c r="C7" t="s">
        <v>45</v>
      </c>
      <c r="D7">
        <v>153</v>
      </c>
      <c r="E7">
        <f>INDEX(StaffYR1[],MATCH(StaffAllocYR2[[#This Row],[Staff]],StaffYR1[Name],0),3)*StaffAllocYR2[[#This Row],[Days Assigned]]</f>
        <v>195534</v>
      </c>
    </row>
    <row r="8" spans="1:5" x14ac:dyDescent="0.25">
      <c r="A8" t="s">
        <v>9</v>
      </c>
      <c r="B8" t="str">
        <f>INDEX(StaffYR1[],MATCH(StaffAllocYR2[[#This Row],[Staff]],StaffYR1[Name],0),4)</f>
        <v>Member Agency 2</v>
      </c>
      <c r="C8" t="s">
        <v>45</v>
      </c>
      <c r="D8">
        <v>211</v>
      </c>
      <c r="E8">
        <f>INDEX(StaffYR1[],MATCH(StaffAllocYR2[[#This Row],[Staff]],StaffYR1[Name],0),3)*StaffAllocYR2[[#This Row],[Days Assigned]]</f>
        <v>252989</v>
      </c>
    </row>
    <row r="9" spans="1:5" x14ac:dyDescent="0.25">
      <c r="A9" t="s">
        <v>11</v>
      </c>
      <c r="B9" t="str">
        <f>INDEX(StaffYR1[],MATCH(StaffAllocYR2[[#This Row],[Staff]],StaffYR1[Name],0),4)</f>
        <v>MPO Staff</v>
      </c>
      <c r="C9" t="s">
        <v>45</v>
      </c>
      <c r="D9">
        <v>152</v>
      </c>
      <c r="E9">
        <f>INDEX(StaffYR1[],MATCH(StaffAllocYR2[[#This Row],[Staff]],StaffYR1[Name],0),3)*StaffAllocYR2[[#This Row],[Days Assigned]]</f>
        <v>74328</v>
      </c>
    </row>
    <row r="10" spans="1:5" x14ac:dyDescent="0.25">
      <c r="A10" t="s">
        <v>3</v>
      </c>
      <c r="B10" t="str">
        <f>INDEX(StaffYR1[],MATCH(StaffAllocYR2[[#This Row],[Staff]],StaffYR1[Name],0),4)</f>
        <v>MPO Staff</v>
      </c>
      <c r="C10" t="s">
        <v>113</v>
      </c>
      <c r="D10">
        <v>179</v>
      </c>
      <c r="E10">
        <f>INDEX(StaffYR1[],MATCH(StaffAllocYR2[[#This Row],[Staff]],StaffYR1[Name],0),3)*StaffAllocYR2[[#This Row],[Days Assigned]]</f>
        <v>74464</v>
      </c>
    </row>
    <row r="11" spans="1:5" x14ac:dyDescent="0.25">
      <c r="A11" t="s">
        <v>4</v>
      </c>
      <c r="B11" t="str">
        <f>INDEX(StaffYR1[],MATCH(StaffAllocYR2[[#This Row],[Staff]],StaffYR1[Name],0),4)</f>
        <v>MPO Staff</v>
      </c>
      <c r="C11" t="s">
        <v>113</v>
      </c>
      <c r="D11">
        <v>152</v>
      </c>
      <c r="E11">
        <f>INDEX(StaffYR1[],MATCH(StaffAllocYR2[[#This Row],[Staff]],StaffYR1[Name],0),3)*StaffAllocYR2[[#This Row],[Days Assigned]]</f>
        <v>222832</v>
      </c>
    </row>
    <row r="12" spans="1:5" x14ac:dyDescent="0.25">
      <c r="A12" t="s">
        <v>11</v>
      </c>
      <c r="B12" t="str">
        <f>INDEX(StaffYR1[],MATCH(StaffAllocYR2[[#This Row],[Staff]],StaffYR1[Name],0),4)</f>
        <v>MPO Staff</v>
      </c>
      <c r="C12" t="s">
        <v>113</v>
      </c>
      <c r="D12">
        <v>202</v>
      </c>
      <c r="E12">
        <f>INDEX(StaffYR1[],MATCH(StaffAllocYR2[[#This Row],[Staff]],StaffYR1[Name],0),3)*StaffAllocYR2[[#This Row],[Days Assigned]]</f>
        <v>98778</v>
      </c>
    </row>
    <row r="13" spans="1:5" x14ac:dyDescent="0.25">
      <c r="A13" t="s">
        <v>9</v>
      </c>
      <c r="B13" t="str">
        <f>INDEX(StaffYR1[],MATCH(StaffAllocYR2[[#This Row],[Staff]],StaffYR1[Name],0),4)</f>
        <v>Member Agency 2</v>
      </c>
      <c r="C13" t="s">
        <v>124</v>
      </c>
      <c r="D13">
        <v>210</v>
      </c>
      <c r="E13">
        <f>INDEX(StaffYR1[],MATCH(StaffAllocYR2[[#This Row],[Staff]],StaffYR1[Name],0),3)*StaffAllocYR2[[#This Row],[Days Assigned]]</f>
        <v>251790</v>
      </c>
    </row>
    <row r="14" spans="1:5" x14ac:dyDescent="0.25">
      <c r="A14" t="s">
        <v>3</v>
      </c>
      <c r="B14" t="str">
        <f>INDEX(StaffYR1[],MATCH(StaffAllocYR2[[#This Row],[Staff]],StaffYR1[Name],0),4)</f>
        <v>MPO Staff</v>
      </c>
      <c r="C14" t="s">
        <v>124</v>
      </c>
      <c r="D14">
        <v>197</v>
      </c>
      <c r="E14">
        <f>INDEX(StaffYR1[],MATCH(StaffAllocYR2[[#This Row],[Staff]],StaffYR1[Name],0),3)*StaffAllocYR2[[#This Row],[Days Assigned]]</f>
        <v>81952</v>
      </c>
    </row>
    <row r="15" spans="1:5" x14ac:dyDescent="0.25">
      <c r="A15" t="s">
        <v>6</v>
      </c>
      <c r="B15" t="str">
        <f>INDEX(StaffYR1[],MATCH(StaffAllocYR2[[#This Row],[Staff]],StaffYR1[Name],0),4)</f>
        <v>MPO Staff</v>
      </c>
      <c r="C15" t="s">
        <v>124</v>
      </c>
      <c r="D15">
        <v>192</v>
      </c>
      <c r="E15">
        <f>INDEX(StaffYR1[],MATCH(StaffAllocYR2[[#This Row],[Staff]],StaffYR1[Name],0),3)*StaffAllocYR2[[#This Row],[Days Assigned]]</f>
        <v>179712</v>
      </c>
    </row>
    <row r="16" spans="1:5" x14ac:dyDescent="0.25">
      <c r="A16" t="s">
        <v>5</v>
      </c>
      <c r="B16" t="str">
        <f>INDEX(StaffYR1[],MATCH(StaffAllocYR2[[#This Row],[Staff]],StaffYR1[Name],0),4)</f>
        <v>Member Agency 1</v>
      </c>
      <c r="C16" t="s">
        <v>114</v>
      </c>
      <c r="D16">
        <v>204</v>
      </c>
      <c r="E16">
        <f>INDEX(StaffYR1[],MATCH(StaffAllocYR2[[#This Row],[Staff]],StaffYR1[Name],0),3)*StaffAllocYR2[[#This Row],[Days Assigned]]</f>
        <v>125256</v>
      </c>
    </row>
    <row r="17" spans="1:9" x14ac:dyDescent="0.25">
      <c r="A17" t="s">
        <v>6</v>
      </c>
      <c r="B17" t="str">
        <f>INDEX(StaffYR1[],MATCH(StaffAllocYR2[[#This Row],[Staff]],StaffYR1[Name],0),4)</f>
        <v>MPO Staff</v>
      </c>
      <c r="C17" t="s">
        <v>114</v>
      </c>
      <c r="D17">
        <v>172</v>
      </c>
      <c r="E17">
        <f>INDEX(StaffYR1[],MATCH(StaffAllocYR2[[#This Row],[Staff]],StaffYR1[Name],0),3)*StaffAllocYR2[[#This Row],[Days Assigned]]</f>
        <v>160992</v>
      </c>
    </row>
    <row r="18" spans="1:9" x14ac:dyDescent="0.25">
      <c r="A18" t="s">
        <v>2</v>
      </c>
      <c r="B18" t="str">
        <f>INDEX(StaffYR1[],MATCH(StaffAllocYR2[[#This Row],[Staff]],StaffYR1[Name],0),4)</f>
        <v>MPO Staff</v>
      </c>
      <c r="C18" t="s">
        <v>114</v>
      </c>
      <c r="D18">
        <v>118</v>
      </c>
      <c r="E18">
        <f>INDEX(StaffYR1[],MATCH(StaffAllocYR2[[#This Row],[Staff]],StaffYR1[Name],0),3)*StaffAllocYR2[[#This Row],[Days Assigned]]</f>
        <v>135228</v>
      </c>
    </row>
    <row r="19" spans="1:9" x14ac:dyDescent="0.25">
      <c r="A19" t="s">
        <v>8</v>
      </c>
      <c r="B19" t="str">
        <f>INDEX(StaffYR1[],MATCH(StaffAllocYR2[[#This Row],[Staff]],StaffYR1[Name],0),4)</f>
        <v>Member Agency 2</v>
      </c>
      <c r="C19" t="s">
        <v>115</v>
      </c>
      <c r="D19">
        <v>117</v>
      </c>
      <c r="E19">
        <f>INDEX(StaffYR1[],MATCH(StaffAllocYR2[[#This Row],[Staff]],StaffYR1[Name],0),3)*StaffAllocYR2[[#This Row],[Days Assigned]]</f>
        <v>174681</v>
      </c>
    </row>
    <row r="20" spans="1:9" x14ac:dyDescent="0.25">
      <c r="A20" t="s">
        <v>8</v>
      </c>
      <c r="B20" t="str">
        <f>INDEX(StaffYR1[],MATCH(StaffAllocYR2[[#This Row],[Staff]],StaffYR1[Name],0),4)</f>
        <v>Member Agency 2</v>
      </c>
      <c r="C20" t="s">
        <v>115</v>
      </c>
      <c r="D20">
        <v>132</v>
      </c>
      <c r="E20">
        <f>INDEX(StaffYR1[],MATCH(StaffAllocYR2[[#This Row],[Staff]],StaffYR1[Name],0),3)*StaffAllocYR2[[#This Row],[Days Assigned]]</f>
        <v>197076</v>
      </c>
    </row>
    <row r="21" spans="1:9" x14ac:dyDescent="0.25">
      <c r="A21" t="s">
        <v>10</v>
      </c>
      <c r="B21" t="str">
        <f>INDEX(StaffYR1[],MATCH(StaffAllocYR2[[#This Row],[Staff]],StaffYR1[Name],0),4)</f>
        <v>MPO Staff</v>
      </c>
      <c r="C21" t="s">
        <v>115</v>
      </c>
      <c r="D21">
        <v>197</v>
      </c>
      <c r="E21">
        <f>INDEX(StaffYR1[],MATCH(StaffAllocYR2[[#This Row],[Staff]],StaffYR1[Name],0),3)*StaffAllocYR2[[#This Row],[Days Assigned]]</f>
        <v>162722</v>
      </c>
    </row>
    <row r="22" spans="1:9" x14ac:dyDescent="0.25">
      <c r="D22" s="33">
        <f>SUM(StaffAllocYR2[Days Assigned])</f>
        <v>3340</v>
      </c>
      <c r="E22" s="33">
        <f>SUM(StaffAllocYR2[Staff Cost])</f>
        <v>3159390</v>
      </c>
    </row>
    <row r="29" spans="1:9" ht="33" x14ac:dyDescent="0.25">
      <c r="G29" s="6" t="s">
        <v>120</v>
      </c>
      <c r="H29" s="2" t="s">
        <v>117</v>
      </c>
      <c r="I29" s="20">
        <v>1617</v>
      </c>
    </row>
    <row r="30" spans="1:9" ht="49.5" x14ac:dyDescent="0.25">
      <c r="G30" s="4" t="s">
        <v>121</v>
      </c>
      <c r="H30" s="15" t="s">
        <v>118</v>
      </c>
      <c r="I30" s="10">
        <v>1410</v>
      </c>
    </row>
    <row r="31" spans="1:9" ht="33" x14ac:dyDescent="0.25">
      <c r="G31" s="6" t="s">
        <v>122</v>
      </c>
      <c r="H31" s="2" t="s">
        <v>118</v>
      </c>
      <c r="I31" s="20">
        <v>1138</v>
      </c>
    </row>
    <row r="32" spans="1:9" ht="49.5" x14ac:dyDescent="0.25">
      <c r="G32" s="7" t="s">
        <v>123</v>
      </c>
      <c r="H32" s="3" t="s">
        <v>119</v>
      </c>
      <c r="I32" s="21">
        <v>1685</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A72E7-F404-4C7C-93FE-1A53A89B3975}">
  <dimension ref="A1:E23"/>
  <sheetViews>
    <sheetView workbookViewId="0">
      <selection activeCell="I13" sqref="I13"/>
    </sheetView>
  </sheetViews>
  <sheetFormatPr defaultRowHeight="15" x14ac:dyDescent="0.25"/>
  <cols>
    <col min="2" max="2" width="22.140625" bestFit="1" customWidth="1"/>
    <col min="3" max="3" width="9.5703125" bestFit="1" customWidth="1"/>
    <col min="4" max="5" width="20.28515625" customWidth="1"/>
  </cols>
  <sheetData>
    <row r="1" spans="1:5" x14ac:dyDescent="0.25">
      <c r="A1" t="s">
        <v>57</v>
      </c>
      <c r="B1" t="s">
        <v>56</v>
      </c>
      <c r="C1" t="s">
        <v>25</v>
      </c>
      <c r="D1" t="s">
        <v>21</v>
      </c>
      <c r="E1" t="s">
        <v>64</v>
      </c>
    </row>
    <row r="2" spans="1:5" x14ac:dyDescent="0.25">
      <c r="A2" t="s">
        <v>50</v>
      </c>
      <c r="B2" t="s">
        <v>58</v>
      </c>
      <c r="C2" t="s">
        <v>115</v>
      </c>
      <c r="D2" t="s">
        <v>22</v>
      </c>
      <c r="E2" s="8">
        <v>37859</v>
      </c>
    </row>
    <row r="3" spans="1:5" x14ac:dyDescent="0.25">
      <c r="A3" t="s">
        <v>51</v>
      </c>
      <c r="B3" t="s">
        <v>59</v>
      </c>
      <c r="C3" t="s">
        <v>124</v>
      </c>
      <c r="D3" t="s">
        <v>22</v>
      </c>
      <c r="E3" s="8">
        <v>26610</v>
      </c>
    </row>
    <row r="4" spans="1:5" x14ac:dyDescent="0.25">
      <c r="A4" t="s">
        <v>52</v>
      </c>
      <c r="B4" t="s">
        <v>60</v>
      </c>
      <c r="C4" t="s">
        <v>115</v>
      </c>
      <c r="D4" t="s">
        <v>22</v>
      </c>
      <c r="E4" s="8">
        <v>3331</v>
      </c>
    </row>
    <row r="5" spans="1:5" x14ac:dyDescent="0.25">
      <c r="A5" t="s">
        <v>49</v>
      </c>
      <c r="B5" t="s">
        <v>61</v>
      </c>
      <c r="C5" t="s">
        <v>45</v>
      </c>
      <c r="D5" t="s">
        <v>23</v>
      </c>
      <c r="E5" s="8">
        <v>17344</v>
      </c>
    </row>
    <row r="6" spans="1:5" x14ac:dyDescent="0.25">
      <c r="A6" t="s">
        <v>53</v>
      </c>
      <c r="B6" t="s">
        <v>62</v>
      </c>
      <c r="C6" t="s">
        <v>45</v>
      </c>
      <c r="D6" t="s">
        <v>22</v>
      </c>
      <c r="E6" s="8">
        <v>42692</v>
      </c>
    </row>
    <row r="7" spans="1:5" x14ac:dyDescent="0.25">
      <c r="A7" t="s">
        <v>54</v>
      </c>
      <c r="B7" t="s">
        <v>63</v>
      </c>
      <c r="C7" t="s">
        <v>116</v>
      </c>
      <c r="D7" t="s">
        <v>23</v>
      </c>
      <c r="E7" s="8">
        <v>3594</v>
      </c>
    </row>
    <row r="8" spans="1:5" x14ac:dyDescent="0.25">
      <c r="A8" t="s">
        <v>55</v>
      </c>
      <c r="B8" t="s">
        <v>65</v>
      </c>
      <c r="C8" t="s">
        <v>129</v>
      </c>
      <c r="D8" t="s">
        <v>24</v>
      </c>
      <c r="E8" s="8">
        <v>29401</v>
      </c>
    </row>
    <row r="9" spans="1:5" x14ac:dyDescent="0.25">
      <c r="A9" t="s">
        <v>50</v>
      </c>
      <c r="B9" t="s">
        <v>58</v>
      </c>
      <c r="C9" t="s">
        <v>129</v>
      </c>
      <c r="D9" t="s">
        <v>24</v>
      </c>
      <c r="E9" s="8">
        <v>15535</v>
      </c>
    </row>
    <row r="10" spans="1:5" x14ac:dyDescent="0.25">
      <c r="A10" t="s">
        <v>51</v>
      </c>
      <c r="B10" t="s">
        <v>59</v>
      </c>
      <c r="C10" t="s">
        <v>114</v>
      </c>
      <c r="D10" t="s">
        <v>22</v>
      </c>
      <c r="E10" s="8">
        <v>6797</v>
      </c>
    </row>
    <row r="11" spans="1:5" x14ac:dyDescent="0.25">
      <c r="A11" t="s">
        <v>52</v>
      </c>
      <c r="B11" t="s">
        <v>60</v>
      </c>
      <c r="C11" t="s">
        <v>129</v>
      </c>
      <c r="D11" t="s">
        <v>22</v>
      </c>
      <c r="E11" s="8">
        <v>2895</v>
      </c>
    </row>
    <row r="12" spans="1:5" x14ac:dyDescent="0.25">
      <c r="A12" t="s">
        <v>49</v>
      </c>
      <c r="B12" t="s">
        <v>61</v>
      </c>
      <c r="C12" t="s">
        <v>113</v>
      </c>
      <c r="D12" t="s">
        <v>22</v>
      </c>
      <c r="E12" s="8">
        <v>24833</v>
      </c>
    </row>
    <row r="13" spans="1:5" x14ac:dyDescent="0.25">
      <c r="A13" t="s">
        <v>53</v>
      </c>
      <c r="B13" t="s">
        <v>62</v>
      </c>
      <c r="C13" t="s">
        <v>45</v>
      </c>
      <c r="D13" t="s">
        <v>22</v>
      </c>
      <c r="E13" s="8">
        <v>42729</v>
      </c>
    </row>
    <row r="14" spans="1:5" x14ac:dyDescent="0.25">
      <c r="A14" t="s">
        <v>54</v>
      </c>
      <c r="B14" t="s">
        <v>63</v>
      </c>
      <c r="C14" t="s">
        <v>113</v>
      </c>
      <c r="D14" t="s">
        <v>22</v>
      </c>
      <c r="E14" s="8">
        <v>30611</v>
      </c>
    </row>
    <row r="15" spans="1:5" x14ac:dyDescent="0.25">
      <c r="A15" t="s">
        <v>55</v>
      </c>
      <c r="B15" t="s">
        <v>65</v>
      </c>
      <c r="C15" t="s">
        <v>129</v>
      </c>
      <c r="D15" t="s">
        <v>23</v>
      </c>
      <c r="E15" s="8">
        <v>43976</v>
      </c>
    </row>
    <row r="16" spans="1:5" x14ac:dyDescent="0.25">
      <c r="A16" t="s">
        <v>50</v>
      </c>
      <c r="B16" t="s">
        <v>58</v>
      </c>
      <c r="C16" t="s">
        <v>116</v>
      </c>
      <c r="D16" t="s">
        <v>22</v>
      </c>
      <c r="E16" s="8">
        <v>13361</v>
      </c>
    </row>
    <row r="17" spans="1:5" x14ac:dyDescent="0.25">
      <c r="A17" t="s">
        <v>51</v>
      </c>
      <c r="B17" t="s">
        <v>59</v>
      </c>
      <c r="C17" t="s">
        <v>116</v>
      </c>
      <c r="D17" t="s">
        <v>23</v>
      </c>
      <c r="E17" s="8">
        <f>44274-27502</f>
        <v>16772</v>
      </c>
    </row>
    <row r="18" spans="1:5" x14ac:dyDescent="0.25">
      <c r="A18" t="s">
        <v>52</v>
      </c>
      <c r="B18" t="s">
        <v>60</v>
      </c>
      <c r="C18" t="s">
        <v>45</v>
      </c>
      <c r="D18" t="s">
        <v>24</v>
      </c>
      <c r="E18" s="8">
        <v>10791</v>
      </c>
    </row>
    <row r="19" spans="1:5" x14ac:dyDescent="0.25">
      <c r="A19" t="s">
        <v>49</v>
      </c>
      <c r="B19" t="s">
        <v>61</v>
      </c>
      <c r="C19" t="s">
        <v>116</v>
      </c>
      <c r="D19" t="s">
        <v>24</v>
      </c>
      <c r="E19" s="8">
        <v>33987</v>
      </c>
    </row>
    <row r="20" spans="1:5" x14ac:dyDescent="0.25">
      <c r="A20" t="s">
        <v>53</v>
      </c>
      <c r="B20" t="s">
        <v>62</v>
      </c>
      <c r="C20" t="s">
        <v>116</v>
      </c>
      <c r="D20" t="s">
        <v>22</v>
      </c>
      <c r="E20" s="8">
        <v>36188</v>
      </c>
    </row>
    <row r="21" spans="1:5" x14ac:dyDescent="0.25">
      <c r="A21" t="s">
        <v>54</v>
      </c>
      <c r="B21" t="s">
        <v>63</v>
      </c>
      <c r="C21" t="s">
        <v>115</v>
      </c>
      <c r="D21" t="s">
        <v>22</v>
      </c>
      <c r="E21" s="8">
        <v>31876</v>
      </c>
    </row>
    <row r="22" spans="1:5" x14ac:dyDescent="0.25">
      <c r="A22" t="s">
        <v>55</v>
      </c>
      <c r="B22" t="s">
        <v>65</v>
      </c>
      <c r="C22" t="s">
        <v>124</v>
      </c>
      <c r="D22" t="s">
        <v>22</v>
      </c>
      <c r="E22" s="8">
        <v>31000</v>
      </c>
    </row>
    <row r="23" spans="1:5" x14ac:dyDescent="0.25">
      <c r="E23" s="8">
        <f>SUM(DirectExpensesYr2[Cost])</f>
        <v>502182</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D0EC3-8A61-468D-8A1A-537F6669D446}">
  <dimension ref="A1:E18"/>
  <sheetViews>
    <sheetView workbookViewId="0">
      <selection activeCell="E19" sqref="E19"/>
    </sheetView>
  </sheetViews>
  <sheetFormatPr defaultRowHeight="15" x14ac:dyDescent="0.25"/>
  <cols>
    <col min="1" max="1" width="29.28515625" bestFit="1" customWidth="1"/>
    <col min="2" max="2" width="47.5703125" customWidth="1"/>
    <col min="3" max="3" width="9.140625" bestFit="1" customWidth="1"/>
    <col min="4" max="4" width="17" bestFit="1" customWidth="1"/>
    <col min="5" max="5" width="12.5703125" bestFit="1" customWidth="1"/>
  </cols>
  <sheetData>
    <row r="1" spans="1:5" x14ac:dyDescent="0.25">
      <c r="A1" t="s">
        <v>56</v>
      </c>
      <c r="B1" t="s">
        <v>57</v>
      </c>
      <c r="C1" t="s">
        <v>25</v>
      </c>
      <c r="D1" t="s">
        <v>21</v>
      </c>
      <c r="E1" t="s">
        <v>64</v>
      </c>
    </row>
    <row r="2" spans="1:5" x14ac:dyDescent="0.25">
      <c r="A2" t="s">
        <v>71</v>
      </c>
      <c r="B2" t="s">
        <v>67</v>
      </c>
      <c r="C2" t="s">
        <v>115</v>
      </c>
      <c r="D2" t="s">
        <v>22</v>
      </c>
      <c r="E2" s="10">
        <v>44584</v>
      </c>
    </row>
    <row r="3" spans="1:5" x14ac:dyDescent="0.25">
      <c r="A3" t="s">
        <v>71</v>
      </c>
      <c r="B3" t="s">
        <v>66</v>
      </c>
      <c r="C3" t="s">
        <v>124</v>
      </c>
      <c r="D3" t="s">
        <v>24</v>
      </c>
      <c r="E3" s="10">
        <v>17442</v>
      </c>
    </row>
    <row r="4" spans="1:5" x14ac:dyDescent="0.25">
      <c r="A4" t="s">
        <v>71</v>
      </c>
      <c r="B4" t="s">
        <v>67</v>
      </c>
      <c r="C4" t="s">
        <v>115</v>
      </c>
      <c r="D4" t="s">
        <v>22</v>
      </c>
      <c r="E4" s="10">
        <f>49675+77000</f>
        <v>126675</v>
      </c>
    </row>
    <row r="5" spans="1:5" x14ac:dyDescent="0.25">
      <c r="A5" t="s">
        <v>71</v>
      </c>
      <c r="B5" t="s">
        <v>67</v>
      </c>
      <c r="C5" t="s">
        <v>45</v>
      </c>
      <c r="D5" t="s">
        <v>24</v>
      </c>
      <c r="E5" s="10">
        <v>34731</v>
      </c>
    </row>
    <row r="6" spans="1:5" x14ac:dyDescent="0.25">
      <c r="A6" t="s">
        <v>73</v>
      </c>
      <c r="B6" t="s">
        <v>69</v>
      </c>
      <c r="C6" t="s">
        <v>45</v>
      </c>
      <c r="D6" t="s">
        <v>23</v>
      </c>
      <c r="E6" s="10">
        <v>5241</v>
      </c>
    </row>
    <row r="7" spans="1:5" x14ac:dyDescent="0.25">
      <c r="A7" t="s">
        <v>73</v>
      </c>
      <c r="B7" t="s">
        <v>69</v>
      </c>
      <c r="C7" t="s">
        <v>116</v>
      </c>
      <c r="D7" t="s">
        <v>22</v>
      </c>
      <c r="E7" s="10">
        <v>17883</v>
      </c>
    </row>
    <row r="8" spans="1:5" x14ac:dyDescent="0.25">
      <c r="A8" t="s">
        <v>73</v>
      </c>
      <c r="B8" t="s">
        <v>69</v>
      </c>
      <c r="C8" t="s">
        <v>129</v>
      </c>
      <c r="D8" t="s">
        <v>23</v>
      </c>
      <c r="E8" s="10">
        <v>17925</v>
      </c>
    </row>
    <row r="9" spans="1:5" x14ac:dyDescent="0.25">
      <c r="A9" t="s">
        <v>73</v>
      </c>
      <c r="B9" t="s">
        <v>69</v>
      </c>
      <c r="C9" t="s">
        <v>129</v>
      </c>
      <c r="D9" t="s">
        <v>22</v>
      </c>
      <c r="E9" s="10">
        <v>17133</v>
      </c>
    </row>
    <row r="10" spans="1:5" x14ac:dyDescent="0.25">
      <c r="A10" t="s">
        <v>72</v>
      </c>
      <c r="B10" t="s">
        <v>68</v>
      </c>
      <c r="C10" t="s">
        <v>114</v>
      </c>
      <c r="D10" t="s">
        <v>22</v>
      </c>
      <c r="E10" s="10">
        <v>27502</v>
      </c>
    </row>
    <row r="11" spans="1:5" x14ac:dyDescent="0.25">
      <c r="A11" t="s">
        <v>72</v>
      </c>
      <c r="B11" t="s">
        <v>68</v>
      </c>
      <c r="C11" t="s">
        <v>129</v>
      </c>
      <c r="D11" t="s">
        <v>24</v>
      </c>
      <c r="E11" s="10">
        <f>34286+283000</f>
        <v>317286</v>
      </c>
    </row>
    <row r="12" spans="1:5" x14ac:dyDescent="0.25">
      <c r="A12" t="s">
        <v>72</v>
      </c>
      <c r="B12" t="s">
        <v>68</v>
      </c>
      <c r="C12" t="s">
        <v>113</v>
      </c>
      <c r="D12" t="s">
        <v>22</v>
      </c>
      <c r="E12" s="10">
        <v>2752</v>
      </c>
    </row>
    <row r="13" spans="1:5" x14ac:dyDescent="0.25">
      <c r="A13" t="s">
        <v>72</v>
      </c>
      <c r="B13" t="s">
        <v>68</v>
      </c>
      <c r="C13" t="s">
        <v>45</v>
      </c>
      <c r="D13" t="s">
        <v>24</v>
      </c>
      <c r="E13" s="10">
        <v>15155</v>
      </c>
    </row>
    <row r="14" spans="1:5" x14ac:dyDescent="0.25">
      <c r="A14" t="s">
        <v>100</v>
      </c>
      <c r="B14" t="s">
        <v>67</v>
      </c>
      <c r="C14" t="s">
        <v>113</v>
      </c>
      <c r="D14" t="s">
        <v>22</v>
      </c>
      <c r="E14" s="10">
        <v>31654</v>
      </c>
    </row>
    <row r="15" spans="1:5" x14ac:dyDescent="0.25">
      <c r="A15" t="s">
        <v>100</v>
      </c>
      <c r="B15" t="s">
        <v>66</v>
      </c>
      <c r="C15" t="s">
        <v>129</v>
      </c>
      <c r="D15" t="s">
        <v>23</v>
      </c>
      <c r="E15" s="10">
        <v>28700</v>
      </c>
    </row>
    <row r="16" spans="1:5" x14ac:dyDescent="0.25">
      <c r="A16" t="s">
        <v>100</v>
      </c>
      <c r="B16" t="s">
        <v>67</v>
      </c>
      <c r="C16" t="s">
        <v>116</v>
      </c>
      <c r="D16" t="s">
        <v>22</v>
      </c>
      <c r="E16" s="10">
        <v>37117</v>
      </c>
    </row>
    <row r="17" spans="1:5" x14ac:dyDescent="0.25">
      <c r="A17" t="s">
        <v>100</v>
      </c>
      <c r="B17" t="s">
        <v>67</v>
      </c>
      <c r="C17" t="s">
        <v>116</v>
      </c>
      <c r="D17" t="s">
        <v>23</v>
      </c>
      <c r="E17" s="10">
        <v>26870</v>
      </c>
    </row>
    <row r="18" spans="1:5" x14ac:dyDescent="0.25">
      <c r="E18" s="10">
        <f>SUM(SupportCostsYr2[Cost])</f>
        <v>768650</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3BFB1-7B9D-4221-9F18-74AC10F127AE}">
  <dimension ref="A1:J7"/>
  <sheetViews>
    <sheetView workbookViewId="0">
      <selection activeCell="I7" sqref="I7:J7"/>
    </sheetView>
  </sheetViews>
  <sheetFormatPr defaultRowHeight="15" x14ac:dyDescent="0.25"/>
  <cols>
    <col min="1" max="1" width="13.5703125" bestFit="1" customWidth="1"/>
    <col min="2" max="2" width="19.140625" customWidth="1"/>
    <col min="3" max="3" width="9.5703125" bestFit="1" customWidth="1"/>
    <col min="4" max="4" width="17" bestFit="1" customWidth="1"/>
    <col min="5" max="5" width="17" customWidth="1"/>
    <col min="6" max="6" width="12.5703125" bestFit="1" customWidth="1"/>
    <col min="7" max="8" width="11.42578125" customWidth="1"/>
    <col min="9" max="9" width="24.140625" bestFit="1" customWidth="1"/>
    <col min="10" max="10" width="21.7109375" bestFit="1" customWidth="1"/>
  </cols>
  <sheetData>
    <row r="1" spans="1:10" x14ac:dyDescent="0.25">
      <c r="A1" t="s">
        <v>56</v>
      </c>
      <c r="B1" t="s">
        <v>57</v>
      </c>
      <c r="C1" t="s">
        <v>25</v>
      </c>
      <c r="D1" t="s">
        <v>21</v>
      </c>
      <c r="E1" t="s">
        <v>130</v>
      </c>
      <c r="F1" t="s">
        <v>64</v>
      </c>
      <c r="G1" t="s">
        <v>75</v>
      </c>
      <c r="H1" t="s">
        <v>76</v>
      </c>
      <c r="I1" t="s">
        <v>103</v>
      </c>
      <c r="J1" t="s">
        <v>104</v>
      </c>
    </row>
    <row r="2" spans="1:10" x14ac:dyDescent="0.25">
      <c r="A2" t="s">
        <v>74</v>
      </c>
      <c r="B2" t="s">
        <v>70</v>
      </c>
      <c r="C2" t="s">
        <v>45</v>
      </c>
      <c r="D2" t="s">
        <v>23</v>
      </c>
      <c r="E2">
        <v>2021</v>
      </c>
      <c r="F2" s="22">
        <v>145289.09999999998</v>
      </c>
      <c r="G2" s="9">
        <v>1</v>
      </c>
      <c r="H2" s="9">
        <v>0</v>
      </c>
      <c r="I2" s="11">
        <f>ConsultantYr2[[#This Row],[FHWA %]]*ConsultantYr2[[#This Row],[Cost]]</f>
        <v>145289.09999999998</v>
      </c>
      <c r="J2" s="11">
        <f>ConsultantYr2[[#This Row],[FTA %]]*ConsultantYr2[[#This Row],[Cost]]</f>
        <v>0</v>
      </c>
    </row>
    <row r="3" spans="1:10" x14ac:dyDescent="0.25">
      <c r="A3" t="s">
        <v>74</v>
      </c>
      <c r="B3" t="s">
        <v>70</v>
      </c>
      <c r="C3" t="s">
        <v>44</v>
      </c>
      <c r="D3" t="s">
        <v>24</v>
      </c>
      <c r="E3">
        <v>2021</v>
      </c>
      <c r="F3" s="22">
        <v>84229</v>
      </c>
      <c r="G3" s="9">
        <v>1</v>
      </c>
      <c r="H3" s="9">
        <v>0</v>
      </c>
      <c r="I3" s="11">
        <f>ConsultantYr2[[#This Row],[FHWA %]]*ConsultantYr2[[#This Row],[Cost]]</f>
        <v>84229</v>
      </c>
      <c r="J3" s="11">
        <f>ConsultantYr2[[#This Row],[FTA %]]*ConsultantYr2[[#This Row],[Cost]]</f>
        <v>0</v>
      </c>
    </row>
    <row r="4" spans="1:10" x14ac:dyDescent="0.25">
      <c r="A4" t="s">
        <v>74</v>
      </c>
      <c r="B4" t="s">
        <v>70</v>
      </c>
      <c r="C4" t="s">
        <v>45</v>
      </c>
      <c r="D4" t="s">
        <v>22</v>
      </c>
      <c r="E4">
        <v>2021</v>
      </c>
      <c r="F4" s="22">
        <v>144858.45000000001</v>
      </c>
      <c r="G4" s="9">
        <v>0.5</v>
      </c>
      <c r="H4" s="9">
        <v>0.5</v>
      </c>
      <c r="I4" s="11">
        <f>ConsultantYr2[[#This Row],[FHWA %]]*ConsultantYr2[[#This Row],[Cost]]</f>
        <v>72429.225000000006</v>
      </c>
      <c r="J4" s="11">
        <f>ConsultantYr2[[#This Row],[FTA %]]*ConsultantYr2[[#This Row],[Cost]]</f>
        <v>72429.225000000006</v>
      </c>
    </row>
    <row r="5" spans="1:10" x14ac:dyDescent="0.25">
      <c r="A5" t="s">
        <v>74</v>
      </c>
      <c r="B5" t="s">
        <v>70</v>
      </c>
      <c r="C5" s="16" t="s">
        <v>128</v>
      </c>
      <c r="D5" t="s">
        <v>22</v>
      </c>
      <c r="E5">
        <v>2022</v>
      </c>
      <c r="F5" s="10">
        <v>1000000</v>
      </c>
      <c r="G5" s="9">
        <v>1</v>
      </c>
      <c r="H5" s="9">
        <v>0</v>
      </c>
      <c r="I5" s="11">
        <v>1500000</v>
      </c>
      <c r="J5" s="11">
        <f>ConsultantYr2[[#This Row],[FTA %]]*ConsultantYr2[[#This Row],[Cost]]</f>
        <v>0</v>
      </c>
    </row>
    <row r="6" spans="1:10" x14ac:dyDescent="0.25">
      <c r="A6" t="s">
        <v>74</v>
      </c>
      <c r="B6" t="s">
        <v>70</v>
      </c>
      <c r="C6" s="16" t="s">
        <v>129</v>
      </c>
      <c r="D6" t="s">
        <v>23</v>
      </c>
      <c r="E6">
        <v>2022</v>
      </c>
      <c r="F6" s="10">
        <v>350000</v>
      </c>
      <c r="G6" s="9">
        <v>0</v>
      </c>
      <c r="H6" s="9">
        <v>1</v>
      </c>
      <c r="I6" s="11">
        <f>ConsultantYr2[[#This Row],[FHWA %]]*ConsultantYr2[[#This Row],[Cost]]</f>
        <v>0</v>
      </c>
      <c r="J6" s="11">
        <f>ConsultantYr2[[#This Row],[FTA %]]*ConsultantYr2[[#This Row],[Cost]]</f>
        <v>350000</v>
      </c>
    </row>
    <row r="7" spans="1:10" x14ac:dyDescent="0.25">
      <c r="F7" s="32"/>
      <c r="G7" s="29"/>
      <c r="H7" s="29"/>
      <c r="I7" s="11">
        <f>SUM(ConsultantYr2[FHWA_Consultant Cost])</f>
        <v>1801947.325</v>
      </c>
      <c r="J7" s="11">
        <f>SUM(ConsultantYr2[FTA_Consultant Cost])</f>
        <v>422429.22499999998</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FEFE-2867-4342-BDF6-42CCAC57C14D}">
  <dimension ref="A1:S38"/>
  <sheetViews>
    <sheetView topLeftCell="A10" workbookViewId="0">
      <selection activeCell="E15" sqref="E15:F15"/>
    </sheetView>
  </sheetViews>
  <sheetFormatPr defaultRowHeight="15" x14ac:dyDescent="0.25"/>
  <cols>
    <col min="2" max="2" width="17" bestFit="1" customWidth="1"/>
    <col min="3" max="3" width="35.28515625" bestFit="1" customWidth="1"/>
    <col min="4" max="4" width="11.7109375" bestFit="1" customWidth="1"/>
    <col min="5" max="5" width="17.42578125" bestFit="1" customWidth="1"/>
    <col min="6" max="6" width="15.5703125" bestFit="1" customWidth="1"/>
    <col min="7" max="7" width="17.28515625" bestFit="1" customWidth="1"/>
    <col min="8" max="8" width="28.28515625" bestFit="1" customWidth="1"/>
    <col min="9" max="9" width="27.140625" bestFit="1" customWidth="1"/>
    <col min="10" max="10" width="25.140625" bestFit="1" customWidth="1"/>
    <col min="11" max="11" width="23.28515625" bestFit="1" customWidth="1"/>
    <col min="12" max="12" width="28.28515625" bestFit="1" customWidth="1"/>
    <col min="13" max="13" width="22" bestFit="1" customWidth="1"/>
    <col min="14" max="14" width="20.42578125" bestFit="1" customWidth="1"/>
    <col min="15" max="15" width="15.85546875" customWidth="1"/>
  </cols>
  <sheetData>
    <row r="1" spans="1:19" x14ac:dyDescent="0.25">
      <c r="A1" t="s">
        <v>38</v>
      </c>
      <c r="B1" t="s">
        <v>21</v>
      </c>
      <c r="C1" t="s">
        <v>25</v>
      </c>
      <c r="D1" t="s">
        <v>77</v>
      </c>
      <c r="E1" t="s">
        <v>78</v>
      </c>
      <c r="F1" t="s">
        <v>79</v>
      </c>
      <c r="G1" t="s">
        <v>80</v>
      </c>
      <c r="H1" t="s">
        <v>131</v>
      </c>
      <c r="I1" t="s">
        <v>132</v>
      </c>
      <c r="J1" t="s">
        <v>133</v>
      </c>
      <c r="K1" t="s">
        <v>134</v>
      </c>
      <c r="L1" t="s">
        <v>135</v>
      </c>
      <c r="M1" t="s">
        <v>136</v>
      </c>
      <c r="N1" t="s">
        <v>137</v>
      </c>
      <c r="O1" t="s">
        <v>138</v>
      </c>
    </row>
    <row r="2" spans="1:19" x14ac:dyDescent="0.25">
      <c r="A2" s="16" t="s">
        <v>113</v>
      </c>
      <c r="B2" t="s">
        <v>22</v>
      </c>
      <c r="C2" s="16" t="s">
        <v>31</v>
      </c>
      <c r="D2" s="10">
        <f>SUMIFS(StaffAllocYR2[Staff Cost],StaffAllocYR2[Project],BudgetYr2[[#This Row],[PIN]],StaffAllocYR2[Agency],BudgetYr2[[#This Row],[Agency]])</f>
        <v>396074</v>
      </c>
      <c r="E2" s="10">
        <f>SUMIFS(DirectExpensesYr2[Cost],DirectExpensesYr2[Project],BudgetYr2[[#This Row],[PIN]],DirectExpensesYr2[Agency],BudgetYr2[[#This Row],[Agency]])</f>
        <v>55444</v>
      </c>
      <c r="F2" s="10">
        <f>SUMIFS(SupportCostsYr2[Cost],SupportCostsYr2[Project],BudgetYr2[[#This Row],[PIN]],SupportCostsYr2[Agency],BudgetYr2[[#This Row],[Agency]])</f>
        <v>34406</v>
      </c>
      <c r="G2" s="10">
        <f>SUMIFS(ConsultantYr2[Cost],ConsultantYr2[Project],BudgetYr2[[#This Row],[PIN]],ConsultantYr2[Agency],BudgetYr2[[#This Row],[Agency]])</f>
        <v>0</v>
      </c>
      <c r="H2" s="10">
        <f>SUMIFS(ConsultantYr2[FHWA_Consultant Cost],ConsultantYr2[Funds Year],2021,ConsultantYr2[Project],BudgetYr2[[#This Row],[PIN]],ConsultantYr2[Agency],BudgetYr2[[#This Row],[Agency]])</f>
        <v>0</v>
      </c>
      <c r="I2" s="10">
        <f>SUMIFS(ConsultantYr2[FTA_Consultant Cost],ConsultantYr2[Funds Year],2021,ConsultantYr2[Project],BudgetYr2[[#This Row],[PIN]],ConsultantYr2[Agency],BudgetYr2[[#This Row],[Agency]])</f>
        <v>0</v>
      </c>
      <c r="J2" s="10"/>
      <c r="K2" s="10"/>
      <c r="L2" s="10">
        <f>SUMIFS(ConsultantYr2[FHWA_Consultant Cost],ConsultantYr2[Funds Year],2022,ConsultantYr2[Project],BudgetYr2[[#This Row],[PIN]],ConsultantYr2[Agency],BudgetYr2[[#This Row],[Agency]])</f>
        <v>0</v>
      </c>
      <c r="M2" s="10">
        <f>SUMIFS(ConsultantYr2[FTA_Consultant Cost],ConsultantYr2[Funds Year],2022,ConsultantYr2[Project],BudgetYr2[[#This Row],[PIN]],ConsultantYr2[Agency],BudgetYr2[[#This Row],[Agency]])</f>
        <v>0</v>
      </c>
      <c r="N2" s="23" cm="1">
        <f t="array" ref="N2">SplitYr2[[FHWA]:[FHWA]]*(SUM(BudgetYr2[[#This Row],[Staff Cost]:[Support Costs]])-SUM(BudgetYr2[[#This Row],[FHWA_Staff_Other_OLD]:[FTA_Staff_Other_Old]]))</f>
        <v>409815.42168674699</v>
      </c>
      <c r="O2" s="10" cm="1">
        <f t="array" ref="O2">SplitYr2[[FTA]:[FTA]]*(SUM(BudgetYr2[[#This Row],[Staff Cost]:[Support Costs]])-SUM(BudgetYr2[[#This Row],[FHWA_Staff_Other_OLD]:[FTA_Staff_Other_Old]]))</f>
        <v>76108.57831325302</v>
      </c>
      <c r="R2" s="26"/>
      <c r="S2" s="26"/>
    </row>
    <row r="3" spans="1:19" x14ac:dyDescent="0.25">
      <c r="A3" s="16" t="s">
        <v>124</v>
      </c>
      <c r="B3" t="s">
        <v>22</v>
      </c>
      <c r="C3" s="16" t="s">
        <v>32</v>
      </c>
      <c r="D3" s="10">
        <f>SUMIFS(StaffAllocYR2[Staff Cost],StaffAllocYR2[Project],BudgetYr2[[#This Row],[PIN]],StaffAllocYR2[Agency],BudgetYr2[[#This Row],[Agency]])</f>
        <v>261664</v>
      </c>
      <c r="E3" s="10">
        <f>SUMIFS(DirectExpensesYr2[Cost],DirectExpensesYr2[Project],BudgetYr2[[#This Row],[PIN]],DirectExpensesYr2[Agency],BudgetYr2[[#This Row],[Agency]])</f>
        <v>57610</v>
      </c>
      <c r="F3" s="10">
        <f>SUMIFS(SupportCostsYr2[Cost],SupportCostsYr2[Project],BudgetYr2[[#This Row],[PIN]],SupportCostsYr2[Agency],BudgetYr2[[#This Row],[Agency]])</f>
        <v>0</v>
      </c>
      <c r="G3" s="10">
        <f>SUMIFS(ConsultantYr2[Cost],ConsultantYr2[Project],BudgetYr2[[#This Row],[PIN]],ConsultantYr2[Agency],BudgetYr2[[#This Row],[Agency]])</f>
        <v>0</v>
      </c>
      <c r="H3" s="10">
        <f>SUMIFS(ConsultantYr2[FHWA_Consultant Cost],ConsultantYr2[Funds Year],2021,ConsultantYr2[Project],BudgetYr2[[#This Row],[PIN]],ConsultantYr2[Agency],BudgetYr2[[#This Row],[Agency]])</f>
        <v>0</v>
      </c>
      <c r="I3" s="10">
        <f>SUMIFS(ConsultantYr2[FTA_Consultant Cost],ConsultantYr2[Funds Year],2021,ConsultantYr2[Project],BudgetYr2[[#This Row],[PIN]],ConsultantYr2[Agency],BudgetYr2[[#This Row],[Agency]])</f>
        <v>0</v>
      </c>
      <c r="J3" s="10"/>
      <c r="K3" s="10"/>
      <c r="L3" s="10">
        <f>SUMIFS(ConsultantYr2[FHWA_Consultant Cost],ConsultantYr2[Funds Year],2022,ConsultantYr2[Project],BudgetYr2[[#This Row],[PIN]],ConsultantYr2[Agency],BudgetYr2[[#This Row],[Agency]])</f>
        <v>0</v>
      </c>
      <c r="M3" s="10">
        <f>SUMIFS(ConsultantYr2[FTA_Consultant Cost],ConsultantYr2[Funds Year],2022,ConsultantYr2[Project],BudgetYr2[[#This Row],[PIN]],ConsultantYr2[Agency],BudgetYr2[[#This Row],[Agency]])</f>
        <v>0</v>
      </c>
      <c r="N3" s="23" cm="1">
        <f t="array" ref="N3">SplitYr2[[FHWA]:[FHWA]]*(SUM(BudgetYr2[[#This Row],[Staff Cost]:[Support Costs]])-SUM(BudgetYr2[[#This Row],[FHWA_Staff_Other_OLD]:[FTA_Staff_Other_Old]]))</f>
        <v>269267.22891566268</v>
      </c>
      <c r="O3" s="10" cm="1">
        <f t="array" ref="O3">SplitYr2[[FTA]:[FTA]]*(SUM(BudgetYr2[[#This Row],[Staff Cost]:[Support Costs]])-SUM(BudgetYr2[[#This Row],[FHWA_Staff_Other_OLD]:[FTA_Staff_Other_Old]]))</f>
        <v>50006.77108433735</v>
      </c>
      <c r="R3" s="26"/>
      <c r="S3" s="26"/>
    </row>
    <row r="4" spans="1:19" x14ac:dyDescent="0.25">
      <c r="A4" s="16" t="s">
        <v>114</v>
      </c>
      <c r="B4" t="s">
        <v>22</v>
      </c>
      <c r="C4" s="16" t="s">
        <v>33</v>
      </c>
      <c r="D4" s="10">
        <f>SUMIFS(StaffAllocYR2[Staff Cost],StaffAllocYR2[Project],BudgetYr2[[#This Row],[PIN]],StaffAllocYR2[Agency],BudgetYr2[[#This Row],[Agency]])</f>
        <v>296220</v>
      </c>
      <c r="E4" s="10">
        <f>SUMIFS(DirectExpensesYr2[Cost],DirectExpensesYr2[Project],BudgetYr2[[#This Row],[PIN]],DirectExpensesYr2[Agency],BudgetYr2[[#This Row],[Agency]])</f>
        <v>6797</v>
      </c>
      <c r="F4" s="10">
        <f>SUMIFS(SupportCostsYr2[Cost],SupportCostsYr2[Project],BudgetYr2[[#This Row],[PIN]],SupportCostsYr2[Agency],BudgetYr2[[#This Row],[Agency]])</f>
        <v>27502</v>
      </c>
      <c r="G4" s="10">
        <f>SUMIFS(ConsultantYr2[Cost],ConsultantYr2[Project],BudgetYr2[[#This Row],[PIN]],ConsultantYr2[Agency],BudgetYr2[[#This Row],[Agency]])</f>
        <v>0</v>
      </c>
      <c r="H4" s="10">
        <f>SUMIFS(ConsultantYr2[FHWA_Consultant Cost],ConsultantYr2[Funds Year],2021,ConsultantYr2[Project],BudgetYr2[[#This Row],[PIN]],ConsultantYr2[Agency],BudgetYr2[[#This Row],[Agency]])</f>
        <v>0</v>
      </c>
      <c r="I4" s="10">
        <f>SUMIFS(ConsultantYr2[FTA_Consultant Cost],ConsultantYr2[Funds Year],2021,ConsultantYr2[Project],BudgetYr2[[#This Row],[PIN]],ConsultantYr2[Agency],BudgetYr2[[#This Row],[Agency]])</f>
        <v>0</v>
      </c>
      <c r="J4" s="10"/>
      <c r="K4" s="10"/>
      <c r="L4" s="10">
        <f>SUMIFS(ConsultantYr2[FHWA_Consultant Cost],ConsultantYr2[Funds Year],2022,ConsultantYr2[Project],BudgetYr2[[#This Row],[PIN]],ConsultantYr2[Agency],BudgetYr2[[#This Row],[Agency]])</f>
        <v>0</v>
      </c>
      <c r="M4" s="10">
        <f>SUMIFS(ConsultantYr2[FTA_Consultant Cost],ConsultantYr2[Funds Year],2022,ConsultantYr2[Project],BudgetYr2[[#This Row],[PIN]],ConsultantYr2[Agency],BudgetYr2[[#This Row],[Agency]])</f>
        <v>0</v>
      </c>
      <c r="N4" s="23" cm="1">
        <f t="array" ref="N4">SplitYr2[[FHWA]:[FHWA]]*(SUM(BudgetYr2[[#This Row],[Staff Cost]:[Support Costs]])-SUM(BudgetYr2[[#This Row],[FHWA_Staff_Other_OLD]:[FTA_Staff_Other_Old]]))</f>
        <v>278750.96385542169</v>
      </c>
      <c r="O4" s="10" cm="1">
        <f t="array" ref="O4">SplitYr2[[FTA]:[FTA]]*(SUM(BudgetYr2[[#This Row],[Staff Cost]:[Support Costs]])-SUM(BudgetYr2[[#This Row],[FHWA_Staff_Other_OLD]:[FTA_Staff_Other_Old]]))</f>
        <v>51768.036144578313</v>
      </c>
      <c r="R4" s="26"/>
      <c r="S4" s="26"/>
    </row>
    <row r="5" spans="1:19" x14ac:dyDescent="0.25">
      <c r="A5" s="16" t="s">
        <v>115</v>
      </c>
      <c r="B5" t="s">
        <v>22</v>
      </c>
      <c r="C5" s="16" t="s">
        <v>34</v>
      </c>
      <c r="D5" s="10">
        <f>SUMIFS(StaffAllocYR2[Staff Cost],StaffAllocYR2[Project],BudgetYr2[[#This Row],[PIN]],StaffAllocYR2[Agency],BudgetYr2[[#This Row],[Agency]])</f>
        <v>162722</v>
      </c>
      <c r="E5" s="10">
        <f>SUMIFS(DirectExpensesYr2[Cost],DirectExpensesYr2[Project],BudgetYr2[[#This Row],[PIN]],DirectExpensesYr2[Agency],BudgetYr2[[#This Row],[Agency]])</f>
        <v>73066</v>
      </c>
      <c r="F5" s="10">
        <f>SUMIFS(SupportCostsYr2[Cost],SupportCostsYr2[Project],BudgetYr2[[#This Row],[PIN]],SupportCostsYr2[Agency],BudgetYr2[[#This Row],[Agency]])</f>
        <v>171259</v>
      </c>
      <c r="G5" s="10">
        <f>SUMIFS(ConsultantYr2[Cost],ConsultantYr2[Project],BudgetYr2[[#This Row],[PIN]],ConsultantYr2[Agency],BudgetYr2[[#This Row],[Agency]])</f>
        <v>0</v>
      </c>
      <c r="H5" s="10">
        <f>SUMIFS(ConsultantYr2[FHWA_Consultant Cost],ConsultantYr2[Funds Year],2021,ConsultantYr2[Project],BudgetYr2[[#This Row],[PIN]],ConsultantYr2[Agency],BudgetYr2[[#This Row],[Agency]])</f>
        <v>0</v>
      </c>
      <c r="I5" s="10">
        <f>SUMIFS(ConsultantYr2[FTA_Consultant Cost],ConsultantYr2[Funds Year],2021,ConsultantYr2[Project],BudgetYr2[[#This Row],[PIN]],ConsultantYr2[Agency],BudgetYr2[[#This Row],[Agency]])</f>
        <v>0</v>
      </c>
      <c r="J5" s="10"/>
      <c r="K5" s="10"/>
      <c r="L5" s="10">
        <f>SUMIFS(ConsultantYr2[FHWA_Consultant Cost],ConsultantYr2[Funds Year],2022,ConsultantYr2[Project],BudgetYr2[[#This Row],[PIN]],ConsultantYr2[Agency],BudgetYr2[[#This Row],[Agency]])</f>
        <v>0</v>
      </c>
      <c r="M5" s="10">
        <f>SUMIFS(ConsultantYr2[FTA_Consultant Cost],ConsultantYr2[Funds Year],2022,ConsultantYr2[Project],BudgetYr2[[#This Row],[PIN]],ConsultantYr2[Agency],BudgetYr2[[#This Row],[Agency]])</f>
        <v>0</v>
      </c>
      <c r="N5" s="23" cm="1">
        <f t="array" ref="N5">SplitYr2[[FHWA]:[FHWA]]*(SUM(BudgetYr2[[#This Row],[Staff Cost]:[Support Costs]])-SUM(BudgetYr2[[#This Row],[FHWA_Staff_Other_OLD]:[FTA_Staff_Other_Old]]))</f>
        <v>343292.65060240967</v>
      </c>
      <c r="O5" s="10" cm="1">
        <f t="array" ref="O5">SplitYr2[[FTA]:[FTA]]*(SUM(BudgetYr2[[#This Row],[Staff Cost]:[Support Costs]])-SUM(BudgetYr2[[#This Row],[FHWA_Staff_Other_OLD]:[FTA_Staff_Other_Old]]))</f>
        <v>63754.349397590362</v>
      </c>
      <c r="R5" s="26"/>
      <c r="S5" s="26"/>
    </row>
    <row r="6" spans="1:19" x14ac:dyDescent="0.25">
      <c r="A6" s="16" t="s">
        <v>116</v>
      </c>
      <c r="B6" t="s">
        <v>22</v>
      </c>
      <c r="C6" s="16" t="s">
        <v>35</v>
      </c>
      <c r="D6" s="10">
        <f>SUMIFS(StaffAllocYR2[Staff Cost],StaffAllocYR2[Project],BudgetYr2[[#This Row],[PIN]],StaffAllocYR2[Agency],BudgetYr2[[#This Row],[Agency]])</f>
        <v>0</v>
      </c>
      <c r="E6" s="10">
        <f>SUMIFS(DirectExpensesYr2[Cost],DirectExpensesYr2[Project],BudgetYr2[[#This Row],[PIN]],DirectExpensesYr2[Agency],BudgetYr2[[#This Row],[Agency]])</f>
        <v>49549</v>
      </c>
      <c r="F6" s="10">
        <f>SUMIFS(SupportCostsYr2[Cost],SupportCostsYr2[Project],BudgetYr2[[#This Row],[PIN]],SupportCostsYr2[Agency],BudgetYr2[[#This Row],[Agency]])</f>
        <v>55000</v>
      </c>
      <c r="G6" s="10">
        <f>SUMIFS(ConsultantYr2[Cost],ConsultantYr2[Project],BudgetYr2[[#This Row],[PIN]],ConsultantYr2[Agency],BudgetYr2[[#This Row],[Agency]])</f>
        <v>0</v>
      </c>
      <c r="H6" s="10">
        <f>SUMIFS(ConsultantYr2[FHWA_Consultant Cost],ConsultantYr2[Funds Year],2021,ConsultantYr2[Project],BudgetYr2[[#This Row],[PIN]],ConsultantYr2[Agency],BudgetYr2[[#This Row],[Agency]])</f>
        <v>0</v>
      </c>
      <c r="I6" s="10">
        <f>SUMIFS(ConsultantYr2[FTA_Consultant Cost],ConsultantYr2[Funds Year],2021,ConsultantYr2[Project],BudgetYr2[[#This Row],[PIN]],ConsultantYr2[Agency],BudgetYr2[[#This Row],[Agency]])</f>
        <v>0</v>
      </c>
      <c r="J6" s="10"/>
      <c r="K6" s="10"/>
      <c r="L6" s="10">
        <f>SUMIFS(ConsultantYr2[FHWA_Consultant Cost],ConsultantYr2[Funds Year],2022,ConsultantYr2[Project],BudgetYr2[[#This Row],[PIN]],ConsultantYr2[Agency],BudgetYr2[[#This Row],[Agency]])</f>
        <v>0</v>
      </c>
      <c r="M6" s="10">
        <f>SUMIFS(ConsultantYr2[FTA_Consultant Cost],ConsultantYr2[Funds Year],2022,ConsultantYr2[Project],BudgetYr2[[#This Row],[PIN]],ConsultantYr2[Agency],BudgetYr2[[#This Row],[Agency]])</f>
        <v>0</v>
      </c>
      <c r="N6" s="23" cm="1">
        <f t="array" ref="N6">SplitYr2[[FHWA]:[FHWA]]*(SUM(BudgetYr2[[#This Row],[Staff Cost]:[Support Costs]])-SUM(BudgetYr2[[#This Row],[FHWA_Staff_Other_OLD]:[FTA_Staff_Other_Old]]))</f>
        <v>88173.855421686749</v>
      </c>
      <c r="O6" s="10" cm="1">
        <f t="array" ref="O6">SplitYr2[[FTA]:[FTA]]*(SUM(BudgetYr2[[#This Row],[Staff Cost]:[Support Costs]])-SUM(BudgetYr2[[#This Row],[FHWA_Staff_Other_OLD]:[FTA_Staff_Other_Old]]))</f>
        <v>16375.144578313253</v>
      </c>
      <c r="R6" s="26"/>
      <c r="S6" s="26"/>
    </row>
    <row r="7" spans="1:19" x14ac:dyDescent="0.25">
      <c r="A7" s="16" t="s">
        <v>44</v>
      </c>
      <c r="B7" t="s">
        <v>22</v>
      </c>
      <c r="C7" s="16" t="s">
        <v>36</v>
      </c>
      <c r="D7" s="10">
        <f>SUMIFS(StaffAllocYR2[Staff Cost],StaffAllocYR2[Project],BudgetYr2[[#This Row],[PIN]],StaffAllocYR2[Agency],BudgetYr2[[#This Row],[Agency]])</f>
        <v>148680</v>
      </c>
      <c r="E7" s="10">
        <f>SUMIFS(DirectExpensesYr2[Cost],DirectExpensesYr2[Project],BudgetYr2[[#This Row],[PIN]],DirectExpensesYr2[Agency],BudgetYr2[[#This Row],[Agency]])</f>
        <v>0</v>
      </c>
      <c r="F7" s="10">
        <f>SUMIFS(SupportCostsYr2[Cost],SupportCostsYr2[Project],BudgetYr2[[#This Row],[PIN]],SupportCostsYr2[Agency],BudgetYr2[[#This Row],[Agency]])</f>
        <v>0</v>
      </c>
      <c r="G7" s="10">
        <f>SUMIFS(ConsultantYr2[Cost],ConsultantYr2[Project],BudgetYr2[[#This Row],[PIN]],ConsultantYr2[Agency],BudgetYr2[[#This Row],[Agency]])</f>
        <v>0</v>
      </c>
      <c r="H7" s="10">
        <f>SUMIFS(ConsultantYr2[FHWA_Consultant Cost],ConsultantYr2[Funds Year],2021,ConsultantYr2[Project],BudgetYr2[[#This Row],[PIN]],ConsultantYr2[Agency],BudgetYr2[[#This Row],[Agency]])</f>
        <v>0</v>
      </c>
      <c r="I7" s="10">
        <f>SUMIFS(ConsultantYr2[FTA_Consultant Cost],ConsultantYr2[Funds Year],2021,ConsultantYr2[Project],BudgetYr2[[#This Row],[PIN]],ConsultantYr2[Agency],BudgetYr2[[#This Row],[Agency]])</f>
        <v>0</v>
      </c>
      <c r="J7" s="10"/>
      <c r="K7" s="10"/>
      <c r="L7" s="10">
        <f>SUMIFS(ConsultantYr2[FHWA_Consultant Cost],ConsultantYr2[Funds Year],2022,ConsultantYr2[Project],BudgetYr2[[#This Row],[PIN]],ConsultantYr2[Agency],BudgetYr2[[#This Row],[Agency]])</f>
        <v>0</v>
      </c>
      <c r="M7" s="10">
        <f>SUMIFS(ConsultantYr2[FTA_Consultant Cost],ConsultantYr2[Funds Year],2022,ConsultantYr2[Project],BudgetYr2[[#This Row],[PIN]],ConsultantYr2[Agency],BudgetYr2[[#This Row],[Agency]])</f>
        <v>0</v>
      </c>
      <c r="N7" s="23" cm="1">
        <f t="array" ref="N7">SplitYr2[[FHWA]:[FHWA]]*(SUM(BudgetYr2[[#This Row],[Staff Cost]:[Support Costs]])-SUM(BudgetYr2[[#This Row],[FHWA_Staff_Other_OLD]:[FTA_Staff_Other_Old]]))</f>
        <v>125392.77108433735</v>
      </c>
      <c r="O7" s="10" cm="1">
        <f t="array" ref="O7">SplitYr2[[FTA]:[FTA]]*(SUM(BudgetYr2[[#This Row],[Staff Cost]:[Support Costs]])-SUM(BudgetYr2[[#This Row],[FHWA_Staff_Other_OLD]:[FTA_Staff_Other_Old]]))</f>
        <v>23287.22891566265</v>
      </c>
      <c r="R7" s="26"/>
      <c r="S7" s="26"/>
    </row>
    <row r="8" spans="1:19" x14ac:dyDescent="0.25">
      <c r="A8" s="16" t="s">
        <v>45</v>
      </c>
      <c r="B8" t="s">
        <v>22</v>
      </c>
      <c r="C8" s="16" t="s">
        <v>37</v>
      </c>
      <c r="D8" s="10">
        <f>SUMIFS(StaffAllocYR2[Staff Cost],StaffAllocYR2[Project],BudgetYr2[[#This Row],[PIN]],StaffAllocYR2[Agency],BudgetYr2[[#This Row],[Agency]])</f>
        <v>444012</v>
      </c>
      <c r="E8" s="10">
        <f>SUMIFS(DirectExpensesYr2[Cost],DirectExpensesYr2[Project],BudgetYr2[[#This Row],[PIN]],DirectExpensesYr2[Agency],BudgetYr2[[#This Row],[Agency]])</f>
        <v>85421</v>
      </c>
      <c r="F8" s="10">
        <f>SUMIFS(SupportCostsYr2[Cost],SupportCostsYr2[Project],BudgetYr2[[#This Row],[PIN]],SupportCostsYr2[Agency],BudgetYr2[[#This Row],[Agency]])</f>
        <v>0</v>
      </c>
      <c r="G8" s="10">
        <f>SUMIFS(ConsultantYr2[Cost],ConsultantYr2[Project],BudgetYr2[[#This Row],[PIN]],ConsultantYr2[Agency],BudgetYr2[[#This Row],[Agency]])</f>
        <v>144858.45000000001</v>
      </c>
      <c r="H8" s="10">
        <f>SUMIFS(ConsultantYr2[FHWA_Consultant Cost],ConsultantYr2[Funds Year],2021,ConsultantYr2[Project],BudgetYr2[[#This Row],[PIN]],ConsultantYr2[Agency],BudgetYr2[[#This Row],[Agency]])</f>
        <v>72429.225000000006</v>
      </c>
      <c r="I8" s="10">
        <f>SUMIFS(ConsultantYr2[FTA_Consultant Cost],ConsultantYr2[Funds Year],2021,ConsultantYr2[Project],BudgetYr2[[#This Row],[PIN]],ConsultantYr2[Agency],BudgetYr2[[#This Row],[Agency]])</f>
        <v>72429.225000000006</v>
      </c>
      <c r="J8" s="10"/>
      <c r="K8" s="10"/>
      <c r="L8" s="10">
        <f>SUMIFS(ConsultantYr2[FHWA_Consultant Cost],ConsultantYr2[Funds Year],2022,ConsultantYr2[Project],BudgetYr2[[#This Row],[PIN]],ConsultantYr2[Agency],BudgetYr2[[#This Row],[Agency]])</f>
        <v>0</v>
      </c>
      <c r="M8" s="10">
        <f>SUMIFS(ConsultantYr2[FTA_Consultant Cost],ConsultantYr2[Funds Year],2022,ConsultantYr2[Project],BudgetYr2[[#This Row],[PIN]],ConsultantYr2[Agency],BudgetYr2[[#This Row],[Agency]])</f>
        <v>0</v>
      </c>
      <c r="N8" s="23" cm="1">
        <f t="array" ref="N8">SplitYr2[[FHWA]:[FHWA]]*(SUM(BudgetYr2[[#This Row],[Staff Cost]:[Support Costs]])-SUM(BudgetYr2[[#This Row],[FHWA_Staff_Other_OLD]:[FTA_Staff_Other_Old]]))</f>
        <v>446509.75903614459</v>
      </c>
      <c r="O8" s="10" cm="1">
        <f t="array" ref="O8">SplitYr2[[FTA]:[FTA]]*(SUM(BudgetYr2[[#This Row],[Staff Cost]:[Support Costs]])-SUM(BudgetYr2[[#This Row],[FHWA_Staff_Other_OLD]:[FTA_Staff_Other_Old]]))</f>
        <v>82923.240963855424</v>
      </c>
      <c r="R8" s="26"/>
      <c r="S8" s="26"/>
    </row>
    <row r="9" spans="1:19" x14ac:dyDescent="0.25">
      <c r="A9" s="16" t="s">
        <v>128</v>
      </c>
      <c r="B9" t="s">
        <v>22</v>
      </c>
      <c r="C9" s="16" t="s">
        <v>125</v>
      </c>
      <c r="D9" s="10">
        <f>SUMIFS(StaffAllocYR2[Staff Cost],StaffAllocYR2[Project],BudgetYr2[[#This Row],[PIN]],StaffAllocYR2[Agency],BudgetYr2[[#This Row],[Agency]])</f>
        <v>0</v>
      </c>
      <c r="E9" s="10">
        <f>SUMIFS(DirectExpensesYr2[Cost],DirectExpensesYr2[Project],BudgetYr2[[#This Row],[PIN]],DirectExpensesYr2[Agency],BudgetYr2[[#This Row],[Agency]])</f>
        <v>0</v>
      </c>
      <c r="F9" s="10">
        <f>SUMIFS(SupportCostsYr2[Cost],SupportCostsYr2[Project],BudgetYr2[[#This Row],[PIN]],SupportCostsYr2[Agency],BudgetYr2[[#This Row],[Agency]])</f>
        <v>0</v>
      </c>
      <c r="G9" s="10">
        <f>SUMIFS(ConsultantYr2[Cost],ConsultantYr2[Project],BudgetYr2[[#This Row],[PIN]],ConsultantYr2[Agency],BudgetYr2[[#This Row],[Agency]])</f>
        <v>1000000</v>
      </c>
      <c r="H9" s="10">
        <f>SUMIFS(ConsultantYr2[FHWA_Consultant Cost],ConsultantYr2[Funds Year],2021,ConsultantYr2[Project],BudgetYr2[[#This Row],[PIN]],ConsultantYr2[Agency],BudgetYr2[[#This Row],[Agency]])</f>
        <v>0</v>
      </c>
      <c r="I9" s="10">
        <f>SUMIFS(ConsultantYr2[FTA_Consultant Cost],ConsultantYr2[Funds Year],2021,ConsultantYr2[Project],BudgetYr2[[#This Row],[PIN]],ConsultantYr2[Agency],BudgetYr2[[#This Row],[Agency]])</f>
        <v>0</v>
      </c>
      <c r="J9" s="10"/>
      <c r="K9" s="10"/>
      <c r="L9" s="10">
        <f>SUMIFS(ConsultantYr2[FHWA_Consultant Cost],ConsultantYr2[Funds Year],2022,ConsultantYr2[Project],BudgetYr2[[#This Row],[PIN]],ConsultantYr2[Agency],BudgetYr2[[#This Row],[Agency]])</f>
        <v>1500000</v>
      </c>
      <c r="M9" s="10">
        <f>SUMIFS(ConsultantYr2[FTA_Consultant Cost],ConsultantYr2[Funds Year],2022,ConsultantYr2[Project],BudgetYr2[[#This Row],[PIN]],ConsultantYr2[Agency],BudgetYr2[[#This Row],[Agency]])</f>
        <v>0</v>
      </c>
      <c r="N9" s="23" cm="1">
        <f t="array" ref="N9">SplitYr2[[FHWA]:[FHWA]]*(SUM(BudgetYr2[[#This Row],[Staff Cost]:[Support Costs]])-SUM(BudgetYr2[[#This Row],[FHWA_Staff_Other_OLD]:[FTA_Staff_Other_Old]]))</f>
        <v>0</v>
      </c>
      <c r="O9" s="10" cm="1">
        <f t="array" ref="O9">SplitYr2[[FTA]:[FTA]]*(SUM(BudgetYr2[[#This Row],[Staff Cost]:[Support Costs]])-SUM(BudgetYr2[[#This Row],[FHWA_Staff_Other_OLD]:[FTA_Staff_Other_Old]]))</f>
        <v>0</v>
      </c>
      <c r="R9" s="26"/>
      <c r="S9" s="26"/>
    </row>
    <row r="10" spans="1:19" x14ac:dyDescent="0.25">
      <c r="A10" s="16" t="s">
        <v>129</v>
      </c>
      <c r="B10" t="s">
        <v>22</v>
      </c>
      <c r="C10" s="16" t="s">
        <v>126</v>
      </c>
      <c r="D10" s="10">
        <f>SUMIFS(StaffAllocYR2[Staff Cost],StaffAllocYR2[Project],BudgetYr2[[#This Row],[PIN]],StaffAllocYR2[Agency],BudgetYr2[[#This Row],[Agency]])</f>
        <v>0</v>
      </c>
      <c r="E10" s="10">
        <f>SUMIFS(DirectExpensesYr2[Cost],DirectExpensesYr2[Project],BudgetYr2[[#This Row],[PIN]],DirectExpensesYr2[Agency],BudgetYr2[[#This Row],[Agency]])</f>
        <v>2895</v>
      </c>
      <c r="F10" s="10">
        <f>SUMIFS(SupportCostsYr2[Cost],SupportCostsYr2[Project],BudgetYr2[[#This Row],[PIN]],SupportCostsYr2[Agency],BudgetYr2[[#This Row],[Agency]])</f>
        <v>17133</v>
      </c>
      <c r="G10" s="10">
        <f>SUMIFS(ConsultantYr2[Cost],ConsultantYr2[Project],BudgetYr2[[#This Row],[PIN]],ConsultantYr2[Agency],BudgetYr2[[#This Row],[Agency]])</f>
        <v>0</v>
      </c>
      <c r="H10" s="10">
        <f>SUMIFS(ConsultantYr2[FHWA_Consultant Cost],ConsultantYr2[Funds Year],2021,ConsultantYr2[Project],BudgetYr2[[#This Row],[PIN]],ConsultantYr2[Agency],BudgetYr2[[#This Row],[Agency]])</f>
        <v>0</v>
      </c>
      <c r="I10" s="10">
        <f>SUMIFS(ConsultantYr2[FTA_Consultant Cost],ConsultantYr2[Funds Year],2021,ConsultantYr2[Project],BudgetYr2[[#This Row],[PIN]],ConsultantYr2[Agency],BudgetYr2[[#This Row],[Agency]])</f>
        <v>0</v>
      </c>
      <c r="J10" s="10"/>
      <c r="K10" s="10"/>
      <c r="L10" s="10">
        <f>SUMIFS(ConsultantYr2[FHWA_Consultant Cost],ConsultantYr2[Funds Year],2022,ConsultantYr2[Project],BudgetYr2[[#This Row],[PIN]],ConsultantYr2[Agency],BudgetYr2[[#This Row],[Agency]])</f>
        <v>0</v>
      </c>
      <c r="M10" s="10">
        <f>SUMIFS(ConsultantYr2[FTA_Consultant Cost],ConsultantYr2[Funds Year],2022,ConsultantYr2[Project],BudgetYr2[[#This Row],[PIN]],ConsultantYr2[Agency],BudgetYr2[[#This Row],[Agency]])</f>
        <v>0</v>
      </c>
      <c r="N10" s="23" cm="1">
        <f t="array" ref="N10">SplitYr2[[FHWA]:[FHWA]]*(SUM(BudgetYr2[[#This Row],[Staff Cost]:[Support Costs]])-SUM(BudgetYr2[[#This Row],[FHWA_Staff_Other_OLD]:[FTA_Staff_Other_Old]]))</f>
        <v>16891.084337349399</v>
      </c>
      <c r="O10" s="10" cm="1">
        <f t="array" ref="O10">SplitYr2[[FTA]:[FTA]]*(SUM(BudgetYr2[[#This Row],[Staff Cost]:[Support Costs]])-SUM(BudgetYr2[[#This Row],[FHWA_Staff_Other_OLD]:[FTA_Staff_Other_Old]]))</f>
        <v>3136.9156626506024</v>
      </c>
      <c r="R10" s="26"/>
      <c r="S10" s="26"/>
    </row>
    <row r="11" spans="1:19" x14ac:dyDescent="0.25">
      <c r="A11" s="16" t="s">
        <v>113</v>
      </c>
      <c r="B11" t="s">
        <v>23</v>
      </c>
      <c r="C11" s="16" t="s">
        <v>31</v>
      </c>
      <c r="D11" s="10">
        <f>SUMIFS(StaffAllocYR2[Staff Cost],StaffAllocYR2[Project],BudgetYr2[[#This Row],[PIN]],StaffAllocYR2[Agency],BudgetYr2[[#This Row],[Agency]])</f>
        <v>0</v>
      </c>
      <c r="E11" s="10">
        <f>SUMIFS(DirectExpensesYr2[Cost],DirectExpensesYr2[Project],BudgetYr2[[#This Row],[PIN]],DirectExpensesYr2[Agency],BudgetYr2[[#This Row],[Agency]])</f>
        <v>0</v>
      </c>
      <c r="F11" s="10">
        <f>SUMIFS(SupportCostsYr2[Cost],SupportCostsYr2[Project],BudgetYr2[[#This Row],[PIN]],SupportCostsYr2[Agency],BudgetYr2[[#This Row],[Agency]])</f>
        <v>0</v>
      </c>
      <c r="G11" s="10">
        <f>SUMIFS(ConsultantYr2[Cost],ConsultantYr2[Project],BudgetYr2[[#This Row],[PIN]],ConsultantYr2[Agency],BudgetYr2[[#This Row],[Agency]])</f>
        <v>0</v>
      </c>
      <c r="H11" s="10">
        <f>SUMIFS(ConsultantYr2[FHWA_Consultant Cost],ConsultantYr2[Funds Year],2021,ConsultantYr2[Project],BudgetYr2[[#This Row],[PIN]],ConsultantYr2[Agency],BudgetYr2[[#This Row],[Agency]])</f>
        <v>0</v>
      </c>
      <c r="I11" s="10">
        <f>SUMIFS(ConsultantYr2[FTA_Consultant Cost],ConsultantYr2[Funds Year],2021,ConsultantYr2[Project],BudgetYr2[[#This Row],[PIN]],ConsultantYr2[Agency],BudgetYr2[[#This Row],[Agency]])</f>
        <v>0</v>
      </c>
      <c r="J11" s="10"/>
      <c r="K11" s="10"/>
      <c r="L11" s="10">
        <f>SUMIFS(ConsultantYr2[FHWA_Consultant Cost],ConsultantYr2[Funds Year],2022,ConsultantYr2[Project],BudgetYr2[[#This Row],[PIN]],ConsultantYr2[Agency],BudgetYr2[[#This Row],[Agency]])</f>
        <v>0</v>
      </c>
      <c r="M11" s="10">
        <f>SUMIFS(ConsultantYr2[FTA_Consultant Cost],ConsultantYr2[Funds Year],2022,ConsultantYr2[Project],BudgetYr2[[#This Row],[PIN]],ConsultantYr2[Agency],BudgetYr2[[#This Row],[Agency]])</f>
        <v>0</v>
      </c>
      <c r="N11" s="23" cm="1">
        <f t="array" ref="N11">SplitYr2[[FHWA]:[FHWA]]*(SUM(BudgetYr2[[#This Row],[Staff Cost]:[Support Costs]])-SUM(BudgetYr2[[#This Row],[FHWA_Staff_Other_OLD]:[FTA_Staff_Other_Old]]))</f>
        <v>0</v>
      </c>
      <c r="O11" s="10" cm="1">
        <f t="array" ref="O11">SplitYr2[[FTA]:[FTA]]*(SUM(BudgetYr2[[#This Row],[Staff Cost]:[Support Costs]])-SUM(BudgetYr2[[#This Row],[FHWA_Staff_Other_OLD]:[FTA_Staff_Other_Old]]))</f>
        <v>0</v>
      </c>
      <c r="R11" s="26"/>
      <c r="S11" s="26"/>
    </row>
    <row r="12" spans="1:19" x14ac:dyDescent="0.25">
      <c r="A12" s="16" t="s">
        <v>124</v>
      </c>
      <c r="B12" t="s">
        <v>23</v>
      </c>
      <c r="C12" s="16" t="s">
        <v>32</v>
      </c>
      <c r="D12" s="10">
        <f>SUMIFS(StaffAllocYR2[Staff Cost],StaffAllocYR2[Project],BudgetYr2[[#This Row],[PIN]],StaffAllocYR2[Agency],BudgetYr2[[#This Row],[Agency]])</f>
        <v>0</v>
      </c>
      <c r="E12" s="10">
        <f>SUMIFS(DirectExpensesYr2[Cost],DirectExpensesYr2[Project],BudgetYr2[[#This Row],[PIN]],DirectExpensesYr2[Agency],BudgetYr2[[#This Row],[Agency]])</f>
        <v>0</v>
      </c>
      <c r="F12" s="10">
        <f>SUMIFS(SupportCostsYr2[Cost],SupportCostsYr2[Project],BudgetYr2[[#This Row],[PIN]],SupportCostsYr2[Agency],BudgetYr2[[#This Row],[Agency]])</f>
        <v>0</v>
      </c>
      <c r="G12" s="10">
        <f>SUMIFS(ConsultantYr2[Cost],ConsultantYr2[Project],BudgetYr2[[#This Row],[PIN]],ConsultantYr2[Agency],BudgetYr2[[#This Row],[Agency]])</f>
        <v>0</v>
      </c>
      <c r="H12" s="10">
        <f>SUMIFS(ConsultantYr2[FHWA_Consultant Cost],ConsultantYr2[Funds Year],2021,ConsultantYr2[Project],BudgetYr2[[#This Row],[PIN]],ConsultantYr2[Agency],BudgetYr2[[#This Row],[Agency]])</f>
        <v>0</v>
      </c>
      <c r="I12" s="10">
        <f>SUMIFS(ConsultantYr2[FTA_Consultant Cost],ConsultantYr2[Funds Year],2021,ConsultantYr2[Project],BudgetYr2[[#This Row],[PIN]],ConsultantYr2[Agency],BudgetYr2[[#This Row],[Agency]])</f>
        <v>0</v>
      </c>
      <c r="J12" s="10"/>
      <c r="K12" s="10"/>
      <c r="L12" s="10">
        <f>SUMIFS(ConsultantYr2[FHWA_Consultant Cost],ConsultantYr2[Funds Year],2022,ConsultantYr2[Project],BudgetYr2[[#This Row],[PIN]],ConsultantYr2[Agency],BudgetYr2[[#This Row],[Agency]])</f>
        <v>0</v>
      </c>
      <c r="M12" s="10">
        <f>SUMIFS(ConsultantYr2[FTA_Consultant Cost],ConsultantYr2[Funds Year],2022,ConsultantYr2[Project],BudgetYr2[[#This Row],[PIN]],ConsultantYr2[Agency],BudgetYr2[[#This Row],[Agency]])</f>
        <v>0</v>
      </c>
      <c r="N12" s="23" cm="1">
        <f t="array" ref="N12">SplitYr2[[FHWA]:[FHWA]]*(SUM(BudgetYr2[[#This Row],[Staff Cost]:[Support Costs]])-SUM(BudgetYr2[[#This Row],[FHWA_Staff_Other_OLD]:[FTA_Staff_Other_Old]]))</f>
        <v>0</v>
      </c>
      <c r="O12" s="10" cm="1">
        <f t="array" ref="O12">SplitYr2[[FTA]:[FTA]]*(SUM(BudgetYr2[[#This Row],[Staff Cost]:[Support Costs]])-SUM(BudgetYr2[[#This Row],[FHWA_Staff_Other_OLD]:[FTA_Staff_Other_Old]]))</f>
        <v>0</v>
      </c>
      <c r="R12" s="26"/>
      <c r="S12" s="26"/>
    </row>
    <row r="13" spans="1:19" x14ac:dyDescent="0.25">
      <c r="A13" s="16" t="s">
        <v>114</v>
      </c>
      <c r="B13" t="s">
        <v>23</v>
      </c>
      <c r="C13" s="16" t="s">
        <v>33</v>
      </c>
      <c r="D13" s="10">
        <f>SUMIFS(StaffAllocYR2[Staff Cost],StaffAllocYR2[Project],BudgetYr2[[#This Row],[PIN]],StaffAllocYR2[Agency],BudgetYr2[[#This Row],[Agency]])</f>
        <v>125256</v>
      </c>
      <c r="E13" s="10">
        <f>SUMIFS(DirectExpensesYr2[Cost],DirectExpensesYr2[Project],BudgetYr2[[#This Row],[PIN]],DirectExpensesYr2[Agency],BudgetYr2[[#This Row],[Agency]])</f>
        <v>0</v>
      </c>
      <c r="F13" s="10">
        <f>SUMIFS(SupportCostsYr2[Cost],SupportCostsYr2[Project],BudgetYr2[[#This Row],[PIN]],SupportCostsYr2[Agency],BudgetYr2[[#This Row],[Agency]])</f>
        <v>0</v>
      </c>
      <c r="G13" s="10">
        <f>SUMIFS(ConsultantYr2[Cost],ConsultantYr2[Project],BudgetYr2[[#This Row],[PIN]],ConsultantYr2[Agency],BudgetYr2[[#This Row],[Agency]])</f>
        <v>0</v>
      </c>
      <c r="H13" s="10">
        <f>SUMIFS(ConsultantYr2[FHWA_Consultant Cost],ConsultantYr2[Funds Year],2021,ConsultantYr2[Project],BudgetYr2[[#This Row],[PIN]],ConsultantYr2[Agency],BudgetYr2[[#This Row],[Agency]])</f>
        <v>0</v>
      </c>
      <c r="I13" s="10">
        <f>SUMIFS(ConsultantYr2[FTA_Consultant Cost],ConsultantYr2[Funds Year],2021,ConsultantYr2[Project],BudgetYr2[[#This Row],[PIN]],ConsultantYr2[Agency],BudgetYr2[[#This Row],[Agency]])</f>
        <v>0</v>
      </c>
      <c r="J13" s="10"/>
      <c r="K13" s="10"/>
      <c r="L13" s="10">
        <f>SUMIFS(ConsultantYr2[FHWA_Consultant Cost],ConsultantYr2[Funds Year],2022,ConsultantYr2[Project],BudgetYr2[[#This Row],[PIN]],ConsultantYr2[Agency],BudgetYr2[[#This Row],[Agency]])</f>
        <v>0</v>
      </c>
      <c r="M13" s="10">
        <f>SUMIFS(ConsultantYr2[FTA_Consultant Cost],ConsultantYr2[Funds Year],2022,ConsultantYr2[Project],BudgetYr2[[#This Row],[PIN]],ConsultantYr2[Agency],BudgetYr2[[#This Row],[Agency]])</f>
        <v>0</v>
      </c>
      <c r="N13" s="23" cm="1">
        <f t="array" ref="N13">SplitYr2[[FHWA]:[FHWA]]*(SUM(BudgetYr2[[#This Row],[Staff Cost]:[Support Costs]])-SUM(BudgetYr2[[#This Row],[FHWA_Staff_Other_OLD]:[FTA_Staff_Other_Old]]))</f>
        <v>105637.59036144579</v>
      </c>
      <c r="O13" s="10" cm="1">
        <f t="array" ref="O13">SplitYr2[[FTA]:[FTA]]*(SUM(BudgetYr2[[#This Row],[Staff Cost]:[Support Costs]])-SUM(BudgetYr2[[#This Row],[FHWA_Staff_Other_OLD]:[FTA_Staff_Other_Old]]))</f>
        <v>19618.409638554218</v>
      </c>
      <c r="R13" s="26"/>
      <c r="S13" s="26"/>
    </row>
    <row r="14" spans="1:19" x14ac:dyDescent="0.25">
      <c r="A14" s="16" t="s">
        <v>115</v>
      </c>
      <c r="B14" t="s">
        <v>23</v>
      </c>
      <c r="C14" s="16" t="s">
        <v>34</v>
      </c>
      <c r="D14" s="10">
        <f>SUMIFS(StaffAllocYR2[Staff Cost],StaffAllocYR2[Project],BudgetYr2[[#This Row],[PIN]],StaffAllocYR2[Agency],BudgetYr2[[#This Row],[Agency]])</f>
        <v>0</v>
      </c>
      <c r="E14" s="10">
        <f>SUMIFS(DirectExpensesYr2[Cost],DirectExpensesYr2[Project],BudgetYr2[[#This Row],[PIN]],DirectExpensesYr2[Agency],BudgetYr2[[#This Row],[Agency]])</f>
        <v>0</v>
      </c>
      <c r="F14" s="10">
        <f>SUMIFS(SupportCostsYr2[Cost],SupportCostsYr2[Project],BudgetYr2[[#This Row],[PIN]],SupportCostsYr2[Agency],BudgetYr2[[#This Row],[Agency]])</f>
        <v>0</v>
      </c>
      <c r="G14" s="10">
        <f>SUMIFS(ConsultantYr2[Cost],ConsultantYr2[Project],BudgetYr2[[#This Row],[PIN]],ConsultantYr2[Agency],BudgetYr2[[#This Row],[Agency]])</f>
        <v>0</v>
      </c>
      <c r="H14" s="10">
        <f>SUMIFS(ConsultantYr2[FHWA_Consultant Cost],ConsultantYr2[Funds Year],2021,ConsultantYr2[Project],BudgetYr2[[#This Row],[PIN]],ConsultantYr2[Agency],BudgetYr2[[#This Row],[Agency]])</f>
        <v>0</v>
      </c>
      <c r="I14" s="10">
        <f>SUMIFS(ConsultantYr2[FTA_Consultant Cost],ConsultantYr2[Funds Year],2021,ConsultantYr2[Project],BudgetYr2[[#This Row],[PIN]],ConsultantYr2[Agency],BudgetYr2[[#This Row],[Agency]])</f>
        <v>0</v>
      </c>
      <c r="J14" s="10"/>
      <c r="K14" s="10"/>
      <c r="L14" s="10">
        <f>SUMIFS(ConsultantYr2[FHWA_Consultant Cost],ConsultantYr2[Funds Year],2022,ConsultantYr2[Project],BudgetYr2[[#This Row],[PIN]],ConsultantYr2[Agency],BudgetYr2[[#This Row],[Agency]])</f>
        <v>0</v>
      </c>
      <c r="M14" s="10">
        <f>SUMIFS(ConsultantYr2[FTA_Consultant Cost],ConsultantYr2[Funds Year],2022,ConsultantYr2[Project],BudgetYr2[[#This Row],[PIN]],ConsultantYr2[Agency],BudgetYr2[[#This Row],[Agency]])</f>
        <v>0</v>
      </c>
      <c r="N14" s="23" cm="1">
        <f t="array" ref="N14">SplitYr2[[FHWA]:[FHWA]]*(SUM(BudgetYr2[[#This Row],[Staff Cost]:[Support Costs]])-SUM(BudgetYr2[[#This Row],[FHWA_Staff_Other_OLD]:[FTA_Staff_Other_Old]]))</f>
        <v>0</v>
      </c>
      <c r="O14" s="10" cm="1">
        <f t="array" ref="O14">SplitYr2[[FTA]:[FTA]]*(SUM(BudgetYr2[[#This Row],[Staff Cost]:[Support Costs]])-SUM(BudgetYr2[[#This Row],[FHWA_Staff_Other_OLD]:[FTA_Staff_Other_Old]]))</f>
        <v>0</v>
      </c>
      <c r="R14" s="26"/>
      <c r="S14" s="26"/>
    </row>
    <row r="15" spans="1:19" x14ac:dyDescent="0.25">
      <c r="A15" s="16" t="s">
        <v>116</v>
      </c>
      <c r="B15" t="s">
        <v>23</v>
      </c>
      <c r="C15" s="16" t="s">
        <v>35</v>
      </c>
      <c r="D15" s="10">
        <f>SUMIFS(StaffAllocYR2[Staff Cost],StaffAllocYR2[Project],BudgetYr2[[#This Row],[PIN]],StaffAllocYR2[Agency],BudgetYr2[[#This Row],[Agency]])</f>
        <v>0</v>
      </c>
      <c r="E15" s="10">
        <f>SUMIFS(DirectExpensesYr2[Cost],DirectExpensesYr2[Project],BudgetYr2[[#This Row],[PIN]],DirectExpensesYr2[Agency],BudgetYr2[[#This Row],[Agency]])</f>
        <v>20366</v>
      </c>
      <c r="F15" s="10">
        <f>SUMIFS(SupportCostsYr2[Cost],SupportCostsYr2[Project],BudgetYr2[[#This Row],[PIN]],SupportCostsYr2[Agency],BudgetYr2[[#This Row],[Agency]])</f>
        <v>26870</v>
      </c>
      <c r="G15" s="10">
        <f>SUMIFS(ConsultantYr2[Cost],ConsultantYr2[Project],BudgetYr2[[#This Row],[PIN]],ConsultantYr2[Agency],BudgetYr2[[#This Row],[Agency]])</f>
        <v>0</v>
      </c>
      <c r="H15" s="10">
        <f>SUMIFS(ConsultantYr2[FHWA_Consultant Cost],ConsultantYr2[Funds Year],2021,ConsultantYr2[Project],BudgetYr2[[#This Row],[PIN]],ConsultantYr2[Agency],BudgetYr2[[#This Row],[Agency]])</f>
        <v>0</v>
      </c>
      <c r="I15" s="10">
        <f>SUMIFS(ConsultantYr2[FTA_Consultant Cost],ConsultantYr2[Funds Year],2021,ConsultantYr2[Project],BudgetYr2[[#This Row],[PIN]],ConsultantYr2[Agency],BudgetYr2[[#This Row],[Agency]])</f>
        <v>0</v>
      </c>
      <c r="J15" s="10"/>
      <c r="K15" s="10"/>
      <c r="L15" s="10">
        <f>SUMIFS(ConsultantYr2[FHWA_Consultant Cost],ConsultantYr2[Funds Year],2022,ConsultantYr2[Project],BudgetYr2[[#This Row],[PIN]],ConsultantYr2[Agency],BudgetYr2[[#This Row],[Agency]])</f>
        <v>0</v>
      </c>
      <c r="M15" s="10">
        <f>SUMIFS(ConsultantYr2[FTA_Consultant Cost],ConsultantYr2[Funds Year],2022,ConsultantYr2[Project],BudgetYr2[[#This Row],[PIN]],ConsultantYr2[Agency],BudgetYr2[[#This Row],[Agency]])</f>
        <v>0</v>
      </c>
      <c r="N15" s="23" cm="1">
        <f t="array" ref="N15">SplitYr2[[FHWA]:[FHWA]]*(SUM(BudgetYr2[[#This Row],[Staff Cost]:[Support Costs]])-SUM(BudgetYr2[[#This Row],[FHWA_Staff_Other_OLD]:[FTA_Staff_Other_Old]]))</f>
        <v>39837.590361445786</v>
      </c>
      <c r="O15" s="10" cm="1">
        <f t="array" ref="O15">SplitYr2[[FTA]:[FTA]]*(SUM(BudgetYr2[[#This Row],[Staff Cost]:[Support Costs]])-SUM(BudgetYr2[[#This Row],[FHWA_Staff_Other_OLD]:[FTA_Staff_Other_Old]]))</f>
        <v>7398.4096385542171</v>
      </c>
      <c r="R15" s="26"/>
      <c r="S15" s="26"/>
    </row>
    <row r="16" spans="1:19" x14ac:dyDescent="0.25">
      <c r="A16" s="16" t="s">
        <v>44</v>
      </c>
      <c r="B16" t="s">
        <v>23</v>
      </c>
      <c r="C16" s="16" t="s">
        <v>36</v>
      </c>
      <c r="D16" s="10">
        <f>SUMIFS(StaffAllocYR2[Staff Cost],StaffAllocYR2[Project],BudgetYr2[[#This Row],[PIN]],StaffAllocYR2[Agency],BudgetYr2[[#This Row],[Agency]])</f>
        <v>118502</v>
      </c>
      <c r="E16" s="10">
        <f>SUMIFS(DirectExpensesYr2[Cost],DirectExpensesYr2[Project],BudgetYr2[[#This Row],[PIN]],DirectExpensesYr2[Agency],BudgetYr2[[#This Row],[Agency]])</f>
        <v>0</v>
      </c>
      <c r="F16" s="10">
        <f>SUMIFS(SupportCostsYr2[Cost],SupportCostsYr2[Project],BudgetYr2[[#This Row],[PIN]],SupportCostsYr2[Agency],BudgetYr2[[#This Row],[Agency]])</f>
        <v>0</v>
      </c>
      <c r="G16" s="10">
        <f>SUMIFS(ConsultantYr2[Cost],ConsultantYr2[Project],BudgetYr2[[#This Row],[PIN]],ConsultantYr2[Agency],BudgetYr2[[#This Row],[Agency]])</f>
        <v>0</v>
      </c>
      <c r="H16" s="10">
        <f>SUMIFS(ConsultantYr2[FHWA_Consultant Cost],ConsultantYr2[Funds Year],2021,ConsultantYr2[Project],BudgetYr2[[#This Row],[PIN]],ConsultantYr2[Agency],BudgetYr2[[#This Row],[Agency]])</f>
        <v>0</v>
      </c>
      <c r="I16" s="10">
        <f>SUMIFS(ConsultantYr2[FTA_Consultant Cost],ConsultantYr2[Funds Year],2021,ConsultantYr2[Project],BudgetYr2[[#This Row],[PIN]],ConsultantYr2[Agency],BudgetYr2[[#This Row],[Agency]])</f>
        <v>0</v>
      </c>
      <c r="J16" s="10"/>
      <c r="K16" s="10"/>
      <c r="L16" s="10">
        <f>SUMIFS(ConsultantYr2[FHWA_Consultant Cost],ConsultantYr2[Funds Year],2022,ConsultantYr2[Project],BudgetYr2[[#This Row],[PIN]],ConsultantYr2[Agency],BudgetYr2[[#This Row],[Agency]])</f>
        <v>0</v>
      </c>
      <c r="M16" s="10">
        <f>SUMIFS(ConsultantYr2[FTA_Consultant Cost],ConsultantYr2[Funds Year],2022,ConsultantYr2[Project],BudgetYr2[[#This Row],[PIN]],ConsultantYr2[Agency],BudgetYr2[[#This Row],[Agency]])</f>
        <v>0</v>
      </c>
      <c r="N16" s="23" cm="1">
        <f t="array" ref="N16">SplitYr2[[FHWA]:[FHWA]]*(SUM(BudgetYr2[[#This Row],[Staff Cost]:[Support Costs]])-SUM(BudgetYr2[[#This Row],[FHWA_Staff_Other_OLD]:[FTA_Staff_Other_Old]]))</f>
        <v>99941.445783132542</v>
      </c>
      <c r="O16" s="10" cm="1">
        <f t="array" ref="O16">SplitYr2[[FTA]:[FTA]]*(SUM(BudgetYr2[[#This Row],[Staff Cost]:[Support Costs]])-SUM(BudgetYr2[[#This Row],[FHWA_Staff_Other_OLD]:[FTA_Staff_Other_Old]]))</f>
        <v>18560.554216867469</v>
      </c>
      <c r="R16" s="26"/>
      <c r="S16" s="26"/>
    </row>
    <row r="17" spans="1:19" x14ac:dyDescent="0.25">
      <c r="A17" s="16" t="s">
        <v>45</v>
      </c>
      <c r="B17" t="s">
        <v>23</v>
      </c>
      <c r="C17" s="16" t="s">
        <v>37</v>
      </c>
      <c r="D17" s="10">
        <f>SUMIFS(StaffAllocYR2[Staff Cost],StaffAllocYR2[Project],BudgetYr2[[#This Row],[PIN]],StaffAllocYR2[Agency],BudgetYr2[[#This Row],[Agency]])</f>
        <v>329724</v>
      </c>
      <c r="E17" s="10">
        <f>SUMIFS(DirectExpensesYr2[Cost],DirectExpensesYr2[Project],BudgetYr2[[#This Row],[PIN]],DirectExpensesYr2[Agency],BudgetYr2[[#This Row],[Agency]])</f>
        <v>17344</v>
      </c>
      <c r="F17" s="10">
        <f>SUMIFS(SupportCostsYr2[Cost],SupportCostsYr2[Project],BudgetYr2[[#This Row],[PIN]],SupportCostsYr2[Agency],BudgetYr2[[#This Row],[Agency]])</f>
        <v>5241</v>
      </c>
      <c r="G17" s="10">
        <f>SUMIFS(ConsultantYr2[Cost],ConsultantYr2[Project],BudgetYr2[[#This Row],[PIN]],ConsultantYr2[Agency],BudgetYr2[[#This Row],[Agency]])</f>
        <v>145289.09999999998</v>
      </c>
      <c r="H17" s="10">
        <f>SUMIFS(ConsultantYr2[FHWA_Consultant Cost],ConsultantYr2[Funds Year],2021,ConsultantYr2[Project],BudgetYr2[[#This Row],[PIN]],ConsultantYr2[Agency],BudgetYr2[[#This Row],[Agency]])</f>
        <v>145289.09999999998</v>
      </c>
      <c r="I17" s="10">
        <f>SUMIFS(ConsultantYr2[FTA_Consultant Cost],ConsultantYr2[Funds Year],2021,ConsultantYr2[Project],BudgetYr2[[#This Row],[PIN]],ConsultantYr2[Agency],BudgetYr2[[#This Row],[Agency]])</f>
        <v>0</v>
      </c>
      <c r="J17" s="10">
        <v>93148.408900394032</v>
      </c>
      <c r="K17" s="10">
        <v>46571.097606637675</v>
      </c>
      <c r="L17" s="10">
        <f>SUMIFS(ConsultantYr2[FHWA_Consultant Cost],ConsultantYr2[Funds Year],2022,ConsultantYr2[Project],BudgetYr2[[#This Row],[PIN]],ConsultantYr2[Agency],BudgetYr2[[#This Row],[Agency]])</f>
        <v>0</v>
      </c>
      <c r="M17" s="10">
        <f>SUMIFS(ConsultantYr2[FTA_Consultant Cost],ConsultantYr2[Funds Year],2022,ConsultantYr2[Project],BudgetYr2[[#This Row],[PIN]],ConsultantYr2[Agency],BudgetYr2[[#This Row],[Agency]])</f>
        <v>0</v>
      </c>
      <c r="N17" s="23" cm="1">
        <f t="array" ref="N17">SplitYr2[[FHWA]:[FHWA]]*(SUM(BudgetYr2[[#This Row],[Staff Cost]:[Support Costs]])-SUM(BudgetYr2[[#This Row],[FHWA_Staff_Other_OLD]:[FTA_Staff_Other_Old]]))</f>
        <v>179292.3439097323</v>
      </c>
      <c r="O17" s="10" cm="1">
        <f t="array" ref="O17">SplitYr2[[FTA]:[FTA]]*(SUM(BudgetYr2[[#This Row],[Staff Cost]:[Support Costs]])-SUM(BudgetYr2[[#This Row],[FHWA_Staff_Other_OLD]:[FTA_Staff_Other_Old]]))</f>
        <v>33297.149583236001</v>
      </c>
      <c r="R17" s="26"/>
      <c r="S17" s="26"/>
    </row>
    <row r="18" spans="1:19" x14ac:dyDescent="0.25">
      <c r="A18" s="16" t="s">
        <v>128</v>
      </c>
      <c r="B18" t="s">
        <v>23</v>
      </c>
      <c r="C18" s="16" t="s">
        <v>125</v>
      </c>
      <c r="D18" s="10">
        <f>SUMIFS(StaffAllocYR2[Staff Cost],StaffAllocYR2[Project],BudgetYr2[[#This Row],[PIN]],StaffAllocYR2[Agency],BudgetYr2[[#This Row],[Agency]])</f>
        <v>0</v>
      </c>
      <c r="E18" s="10">
        <f>SUMIFS(DirectExpensesYr2[Cost],DirectExpensesYr2[Project],BudgetYr2[[#This Row],[PIN]],DirectExpensesYr2[Agency],BudgetYr2[[#This Row],[Agency]])</f>
        <v>0</v>
      </c>
      <c r="F18" s="10">
        <f>SUMIFS(SupportCostsYr2[Cost],SupportCostsYr2[Project],BudgetYr2[[#This Row],[PIN]],SupportCostsYr2[Agency],BudgetYr2[[#This Row],[Agency]])</f>
        <v>0</v>
      </c>
      <c r="G18" s="10">
        <f>SUMIFS(ConsultantYr2[Cost],ConsultantYr2[Project],BudgetYr2[[#This Row],[PIN]],ConsultantYr2[Agency],BudgetYr2[[#This Row],[Agency]])</f>
        <v>0</v>
      </c>
      <c r="H18" s="10">
        <f>SUMIFS(ConsultantYr2[FHWA_Consultant Cost],ConsultantYr2[Funds Year],2021,ConsultantYr2[Project],BudgetYr2[[#This Row],[PIN]],ConsultantYr2[Agency],BudgetYr2[[#This Row],[Agency]])</f>
        <v>0</v>
      </c>
      <c r="I18" s="10">
        <f>SUMIFS(ConsultantYr2[FTA_Consultant Cost],ConsultantYr2[Funds Year],2021,ConsultantYr2[Project],BudgetYr2[[#This Row],[PIN]],ConsultantYr2[Agency],BudgetYr2[[#This Row],[Agency]])</f>
        <v>0</v>
      </c>
      <c r="J18" s="10"/>
      <c r="K18" s="10"/>
      <c r="L18" s="10">
        <f>SUMIFS(ConsultantYr2[FHWA_Consultant Cost],ConsultantYr2[Funds Year],2022,ConsultantYr2[Project],BudgetYr2[[#This Row],[PIN]],ConsultantYr2[Agency],BudgetYr2[[#This Row],[Agency]])</f>
        <v>0</v>
      </c>
      <c r="M18" s="10">
        <f>SUMIFS(ConsultantYr2[FTA_Consultant Cost],ConsultantYr2[Funds Year],2022,ConsultantYr2[Project],BudgetYr2[[#This Row],[PIN]],ConsultantYr2[Agency],BudgetYr2[[#This Row],[Agency]])</f>
        <v>0</v>
      </c>
      <c r="N18" s="23" cm="1">
        <f t="array" ref="N18">SplitYr2[[FHWA]:[FHWA]]*(SUM(BudgetYr2[[#This Row],[Staff Cost]:[Support Costs]])-SUM(BudgetYr2[[#This Row],[FHWA_Staff_Other_OLD]:[FTA_Staff_Other_Old]]))</f>
        <v>0</v>
      </c>
      <c r="O18" s="10" cm="1">
        <f t="array" ref="O18">SplitYr2[[FTA]:[FTA]]*(SUM(BudgetYr2[[#This Row],[Staff Cost]:[Support Costs]])-SUM(BudgetYr2[[#This Row],[FHWA_Staff_Other_OLD]:[FTA_Staff_Other_Old]]))</f>
        <v>0</v>
      </c>
      <c r="R18" s="26"/>
      <c r="S18" s="26"/>
    </row>
    <row r="19" spans="1:19" x14ac:dyDescent="0.25">
      <c r="A19" s="16" t="s">
        <v>129</v>
      </c>
      <c r="B19" t="s">
        <v>23</v>
      </c>
      <c r="C19" s="16" t="s">
        <v>126</v>
      </c>
      <c r="D19" s="10">
        <f>SUMIFS(StaffAllocYR2[Staff Cost],StaffAllocYR2[Project],BudgetYr2[[#This Row],[PIN]],StaffAllocYR2[Agency],BudgetYr2[[#This Row],[Agency]])</f>
        <v>0</v>
      </c>
      <c r="E19" s="10">
        <f>SUMIFS(DirectExpensesYr2[Cost],DirectExpensesYr2[Project],BudgetYr2[[#This Row],[PIN]],DirectExpensesYr2[Agency],BudgetYr2[[#This Row],[Agency]])</f>
        <v>43976</v>
      </c>
      <c r="F19" s="10">
        <f>SUMIFS(SupportCostsYr2[Cost],SupportCostsYr2[Project],BudgetYr2[[#This Row],[PIN]],SupportCostsYr2[Agency],BudgetYr2[[#This Row],[Agency]])</f>
        <v>46625</v>
      </c>
      <c r="G19" s="10">
        <f>SUMIFS(ConsultantYr2[Cost],ConsultantYr2[Project],BudgetYr2[[#This Row],[PIN]],ConsultantYr2[Agency],BudgetYr2[[#This Row],[Agency]])</f>
        <v>350000</v>
      </c>
      <c r="H19" s="10">
        <f>SUMIFS(ConsultantYr2[FHWA_Consultant Cost],ConsultantYr2[Funds Year],2021,ConsultantYr2[Project],BudgetYr2[[#This Row],[PIN]],ConsultantYr2[Agency],BudgetYr2[[#This Row],[Agency]])</f>
        <v>0</v>
      </c>
      <c r="I19" s="10">
        <f>SUMIFS(ConsultantYr2[FTA_Consultant Cost],ConsultantYr2[Funds Year],2021,ConsultantYr2[Project],BudgetYr2[[#This Row],[PIN]],ConsultantYr2[Agency],BudgetYr2[[#This Row],[Agency]])</f>
        <v>0</v>
      </c>
      <c r="J19" s="10"/>
      <c r="K19" s="10"/>
      <c r="L19" s="10">
        <f>SUMIFS(ConsultantYr2[FHWA_Consultant Cost],ConsultantYr2[Funds Year],2022,ConsultantYr2[Project],BudgetYr2[[#This Row],[PIN]],ConsultantYr2[Agency],BudgetYr2[[#This Row],[Agency]])</f>
        <v>0</v>
      </c>
      <c r="M19" s="10">
        <f>SUMIFS(ConsultantYr2[FTA_Consultant Cost],ConsultantYr2[Funds Year],2022,ConsultantYr2[Project],BudgetYr2[[#This Row],[PIN]],ConsultantYr2[Agency],BudgetYr2[[#This Row],[Agency]])</f>
        <v>350000</v>
      </c>
      <c r="N19" s="23" cm="1">
        <f t="array" ref="N19">SplitYr2[[FHWA]:[FHWA]]*(SUM(BudgetYr2[[#This Row],[Staff Cost]:[Support Costs]])-SUM(BudgetYr2[[#This Row],[FHWA_Staff_Other_OLD]:[FTA_Staff_Other_Old]]))</f>
        <v>76410.481927710847</v>
      </c>
      <c r="O19" s="10" cm="1">
        <f t="array" ref="O19">SplitYr2[[FTA]:[FTA]]*(SUM(BudgetYr2[[#This Row],[Staff Cost]:[Support Costs]])-SUM(BudgetYr2[[#This Row],[FHWA_Staff_Other_OLD]:[FTA_Staff_Other_Old]]))</f>
        <v>14190.518072289156</v>
      </c>
      <c r="R19" s="26"/>
      <c r="S19" s="26"/>
    </row>
    <row r="20" spans="1:19" x14ac:dyDescent="0.25">
      <c r="A20" s="16" t="s">
        <v>113</v>
      </c>
      <c r="B20" t="s">
        <v>24</v>
      </c>
      <c r="C20" s="16" t="s">
        <v>31</v>
      </c>
      <c r="D20" s="10">
        <f>SUMIFS(StaffAllocYR2[Staff Cost],StaffAllocYR2[Project],BudgetYr2[[#This Row],[PIN]],StaffAllocYR2[Agency],BudgetYr2[[#This Row],[Agency]])</f>
        <v>0</v>
      </c>
      <c r="E20" s="10">
        <f>SUMIFS(DirectExpensesYr2[Cost],DirectExpensesYr2[Project],BudgetYr2[[#This Row],[PIN]],DirectExpensesYr2[Agency],BudgetYr2[[#This Row],[Agency]])</f>
        <v>0</v>
      </c>
      <c r="F20" s="10">
        <f>SUMIFS(SupportCostsYr2[Cost],SupportCostsYr2[Project],BudgetYr2[[#This Row],[PIN]],SupportCostsYr2[Agency],BudgetYr2[[#This Row],[Agency]])</f>
        <v>0</v>
      </c>
      <c r="G20" s="10">
        <f>SUMIFS(ConsultantYr2[Cost],ConsultantYr2[Project],BudgetYr2[[#This Row],[PIN]],ConsultantYr2[Agency],BudgetYr2[[#This Row],[Agency]])</f>
        <v>0</v>
      </c>
      <c r="H20" s="10">
        <f>SUMIFS(ConsultantYr2[FHWA_Consultant Cost],ConsultantYr2[Funds Year],2021,ConsultantYr2[Project],BudgetYr2[[#This Row],[PIN]],ConsultantYr2[Agency],BudgetYr2[[#This Row],[Agency]])</f>
        <v>0</v>
      </c>
      <c r="I20" s="10">
        <f>SUMIFS(ConsultantYr2[FTA_Consultant Cost],ConsultantYr2[Funds Year],2021,ConsultantYr2[Project],BudgetYr2[[#This Row],[PIN]],ConsultantYr2[Agency],BudgetYr2[[#This Row],[Agency]])</f>
        <v>0</v>
      </c>
      <c r="J20" s="10"/>
      <c r="K20" s="10"/>
      <c r="L20" s="10">
        <f>SUMIFS(ConsultantYr2[FHWA_Consultant Cost],ConsultantYr2[Funds Year],2022,ConsultantYr2[Project],BudgetYr2[[#This Row],[PIN]],ConsultantYr2[Agency],BudgetYr2[[#This Row],[Agency]])</f>
        <v>0</v>
      </c>
      <c r="M20" s="10">
        <f>SUMIFS(ConsultantYr2[FTA_Consultant Cost],ConsultantYr2[Funds Year],2022,ConsultantYr2[Project],BudgetYr2[[#This Row],[PIN]],ConsultantYr2[Agency],BudgetYr2[[#This Row],[Agency]])</f>
        <v>0</v>
      </c>
      <c r="N20" s="23" cm="1">
        <f t="array" ref="N20">SplitYr2[[FHWA]:[FHWA]]*(SUM(BudgetYr2[[#This Row],[Staff Cost]:[Support Costs]])-SUM(BudgetYr2[[#This Row],[FHWA_Staff_Other_OLD]:[FTA_Staff_Other_Old]]))</f>
        <v>0</v>
      </c>
      <c r="O20" s="10" cm="1">
        <f t="array" ref="O20">SplitYr2[[FTA]:[FTA]]*(SUM(BudgetYr2[[#This Row],[Staff Cost]:[Support Costs]])-SUM(BudgetYr2[[#This Row],[FHWA_Staff_Other_OLD]:[FTA_Staff_Other_Old]]))</f>
        <v>0</v>
      </c>
      <c r="R20" s="26"/>
      <c r="S20" s="26"/>
    </row>
    <row r="21" spans="1:19" x14ac:dyDescent="0.25">
      <c r="A21" s="16" t="s">
        <v>124</v>
      </c>
      <c r="B21" t="s">
        <v>24</v>
      </c>
      <c r="C21" s="16" t="s">
        <v>32</v>
      </c>
      <c r="D21" s="10">
        <f>SUMIFS(StaffAllocYR2[Staff Cost],StaffAllocYR2[Project],BudgetYr2[[#This Row],[PIN]],StaffAllocYR2[Agency],BudgetYr2[[#This Row],[Agency]])</f>
        <v>251790</v>
      </c>
      <c r="E21" s="10">
        <f>SUMIFS(DirectExpensesYr2[Cost],DirectExpensesYr2[Project],BudgetYr2[[#This Row],[PIN]],DirectExpensesYr2[Agency],BudgetYr2[[#This Row],[Agency]])</f>
        <v>0</v>
      </c>
      <c r="F21" s="10">
        <f>SUMIFS(SupportCostsYr2[Cost],SupportCostsYr2[Project],BudgetYr2[[#This Row],[PIN]],SupportCostsYr2[Agency],BudgetYr2[[#This Row],[Agency]])</f>
        <v>17442</v>
      </c>
      <c r="G21" s="10">
        <f>SUMIFS(ConsultantYr2[Cost],ConsultantYr2[Project],BudgetYr2[[#This Row],[PIN]],ConsultantYr2[Agency],BudgetYr2[[#This Row],[Agency]])</f>
        <v>0</v>
      </c>
      <c r="H21" s="10">
        <f>SUMIFS(ConsultantYr2[FHWA_Consultant Cost],ConsultantYr2[Funds Year],2021,ConsultantYr2[Project],BudgetYr2[[#This Row],[PIN]],ConsultantYr2[Agency],BudgetYr2[[#This Row],[Agency]])</f>
        <v>0</v>
      </c>
      <c r="I21" s="10">
        <f>SUMIFS(ConsultantYr2[FTA_Consultant Cost],ConsultantYr2[Funds Year],2021,ConsultantYr2[Project],BudgetYr2[[#This Row],[PIN]],ConsultantYr2[Agency],BudgetYr2[[#This Row],[Agency]])</f>
        <v>0</v>
      </c>
      <c r="J21" s="10"/>
      <c r="K21" s="10"/>
      <c r="L21" s="10">
        <f>SUMIFS(ConsultantYr2[FHWA_Consultant Cost],ConsultantYr2[Funds Year],2022,ConsultantYr2[Project],BudgetYr2[[#This Row],[PIN]],ConsultantYr2[Agency],BudgetYr2[[#This Row],[Agency]])</f>
        <v>0</v>
      </c>
      <c r="M21" s="10">
        <f>SUMIFS(ConsultantYr2[FTA_Consultant Cost],ConsultantYr2[Funds Year],2022,ConsultantYr2[Project],BudgetYr2[[#This Row],[PIN]],ConsultantYr2[Agency],BudgetYr2[[#This Row],[Agency]])</f>
        <v>0</v>
      </c>
      <c r="N21" s="23" cm="1">
        <f t="array" ref="N21">SplitYr2[[FHWA]:[FHWA]]*(SUM(BudgetYr2[[#This Row],[Staff Cost]:[Support Costs]])-SUM(BudgetYr2[[#This Row],[FHWA_Staff_Other_OLD]:[FTA_Staff_Other_Old]]))</f>
        <v>227063.13253012049</v>
      </c>
      <c r="O21" s="10" cm="1">
        <f t="array" ref="O21">SplitYr2[[FTA]:[FTA]]*(SUM(BudgetYr2[[#This Row],[Staff Cost]:[Support Costs]])-SUM(BudgetYr2[[#This Row],[FHWA_Staff_Other_OLD]:[FTA_Staff_Other_Old]]))</f>
        <v>42168.867469879522</v>
      </c>
      <c r="R21" s="26"/>
      <c r="S21" s="26"/>
    </row>
    <row r="22" spans="1:19" x14ac:dyDescent="0.25">
      <c r="A22" s="16" t="s">
        <v>114</v>
      </c>
      <c r="B22" t="s">
        <v>24</v>
      </c>
      <c r="C22" s="16" t="s">
        <v>33</v>
      </c>
      <c r="D22" s="10">
        <f>SUMIFS(StaffAllocYR2[Staff Cost],StaffAllocYR2[Project],BudgetYr2[[#This Row],[PIN]],StaffAllocYR2[Agency],BudgetYr2[[#This Row],[Agency]])</f>
        <v>0</v>
      </c>
      <c r="E22" s="10">
        <f>SUMIFS(DirectExpensesYr2[Cost],DirectExpensesYr2[Project],BudgetYr2[[#This Row],[PIN]],DirectExpensesYr2[Agency],BudgetYr2[[#This Row],[Agency]])</f>
        <v>0</v>
      </c>
      <c r="F22" s="10">
        <f>SUMIFS(SupportCostsYr2[Cost],SupportCostsYr2[Project],BudgetYr2[[#This Row],[PIN]],SupportCostsYr2[Agency],BudgetYr2[[#This Row],[Agency]])</f>
        <v>0</v>
      </c>
      <c r="G22" s="10">
        <f>SUMIFS(ConsultantYr2[Cost],ConsultantYr2[Project],BudgetYr2[[#This Row],[PIN]],ConsultantYr2[Agency],BudgetYr2[[#This Row],[Agency]])</f>
        <v>0</v>
      </c>
      <c r="H22" s="10">
        <f>SUMIFS(ConsultantYr2[FHWA_Consultant Cost],ConsultantYr2[Funds Year],2021,ConsultantYr2[Project],BudgetYr2[[#This Row],[PIN]],ConsultantYr2[Agency],BudgetYr2[[#This Row],[Agency]])</f>
        <v>0</v>
      </c>
      <c r="I22" s="10">
        <f>SUMIFS(ConsultantYr2[FTA_Consultant Cost],ConsultantYr2[Funds Year],2021,ConsultantYr2[Project],BudgetYr2[[#This Row],[PIN]],ConsultantYr2[Agency],BudgetYr2[[#This Row],[Agency]])</f>
        <v>0</v>
      </c>
      <c r="J22" s="10"/>
      <c r="K22" s="10"/>
      <c r="L22" s="10">
        <f>SUMIFS(ConsultantYr2[FHWA_Consultant Cost],ConsultantYr2[Funds Year],2022,ConsultantYr2[Project],BudgetYr2[[#This Row],[PIN]],ConsultantYr2[Agency],BudgetYr2[[#This Row],[Agency]])</f>
        <v>0</v>
      </c>
      <c r="M22" s="10">
        <f>SUMIFS(ConsultantYr2[FTA_Consultant Cost],ConsultantYr2[Funds Year],2022,ConsultantYr2[Project],BudgetYr2[[#This Row],[PIN]],ConsultantYr2[Agency],BudgetYr2[[#This Row],[Agency]])</f>
        <v>0</v>
      </c>
      <c r="N22" s="23" cm="1">
        <f t="array" ref="N22">SplitYr2[[FHWA]:[FHWA]]*(SUM(BudgetYr2[[#This Row],[Staff Cost]:[Support Costs]])-SUM(BudgetYr2[[#This Row],[FHWA_Staff_Other_OLD]:[FTA_Staff_Other_Old]]))</f>
        <v>0</v>
      </c>
      <c r="O22" s="10" cm="1">
        <f t="array" ref="O22">SplitYr2[[FTA]:[FTA]]*(SUM(BudgetYr2[[#This Row],[Staff Cost]:[Support Costs]])-SUM(BudgetYr2[[#This Row],[FHWA_Staff_Other_OLD]:[FTA_Staff_Other_Old]]))</f>
        <v>0</v>
      </c>
      <c r="R22" s="26"/>
      <c r="S22" s="26"/>
    </row>
    <row r="23" spans="1:19" x14ac:dyDescent="0.25">
      <c r="A23" s="16" t="s">
        <v>115</v>
      </c>
      <c r="B23" t="s">
        <v>24</v>
      </c>
      <c r="C23" s="16" t="s">
        <v>34</v>
      </c>
      <c r="D23" s="10">
        <f>SUMIFS(StaffAllocYR2[Staff Cost],StaffAllocYR2[Project],BudgetYr2[[#This Row],[PIN]],StaffAllocYR2[Agency],BudgetYr2[[#This Row],[Agency]])</f>
        <v>371757</v>
      </c>
      <c r="E23" s="10">
        <f>SUMIFS(DirectExpensesYr2[Cost],DirectExpensesYr2[Project],BudgetYr2[[#This Row],[PIN]],DirectExpensesYr2[Agency],BudgetYr2[[#This Row],[Agency]])</f>
        <v>0</v>
      </c>
      <c r="F23" s="10">
        <f>SUMIFS(SupportCostsYr2[Cost],SupportCostsYr2[Project],BudgetYr2[[#This Row],[PIN]],SupportCostsYr2[Agency],BudgetYr2[[#This Row],[Agency]])</f>
        <v>0</v>
      </c>
      <c r="G23" s="10">
        <f>SUMIFS(ConsultantYr2[Cost],ConsultantYr2[Project],BudgetYr2[[#This Row],[PIN]],ConsultantYr2[Agency],BudgetYr2[[#This Row],[Agency]])</f>
        <v>0</v>
      </c>
      <c r="H23" s="10">
        <f>SUMIFS(ConsultantYr2[FHWA_Consultant Cost],ConsultantYr2[Funds Year],2021,ConsultantYr2[Project],BudgetYr2[[#This Row],[PIN]],ConsultantYr2[Agency],BudgetYr2[[#This Row],[Agency]])</f>
        <v>0</v>
      </c>
      <c r="I23" s="10">
        <f>SUMIFS(ConsultantYr2[FTA_Consultant Cost],ConsultantYr2[Funds Year],2021,ConsultantYr2[Project],BudgetYr2[[#This Row],[PIN]],ConsultantYr2[Agency],BudgetYr2[[#This Row],[Agency]])</f>
        <v>0</v>
      </c>
      <c r="J23" s="10"/>
      <c r="K23" s="10"/>
      <c r="L23" s="10">
        <f>SUMIFS(ConsultantYr2[FHWA_Consultant Cost],ConsultantYr2[Funds Year],2022,ConsultantYr2[Project],BudgetYr2[[#This Row],[PIN]],ConsultantYr2[Agency],BudgetYr2[[#This Row],[Agency]])</f>
        <v>0</v>
      </c>
      <c r="M23" s="10">
        <f>SUMIFS(ConsultantYr2[FTA_Consultant Cost],ConsultantYr2[Funds Year],2022,ConsultantYr2[Project],BudgetYr2[[#This Row],[PIN]],ConsultantYr2[Agency],BudgetYr2[[#This Row],[Agency]])</f>
        <v>0</v>
      </c>
      <c r="N23" s="23" cm="1">
        <f t="array" ref="N23">SplitYr2[[FHWA]:[FHWA]]*(SUM(BudgetYr2[[#This Row],[Staff Cost]:[Support Costs]])-SUM(BudgetYr2[[#This Row],[FHWA_Staff_Other_OLD]:[FTA_Staff_Other_Old]]))</f>
        <v>313530</v>
      </c>
      <c r="O23" s="10" cm="1">
        <f t="array" ref="O23">SplitYr2[[FTA]:[FTA]]*(SUM(BudgetYr2[[#This Row],[Staff Cost]:[Support Costs]])-SUM(BudgetYr2[[#This Row],[FHWA_Staff_Other_OLD]:[FTA_Staff_Other_Old]]))</f>
        <v>58227</v>
      </c>
      <c r="R23" s="26"/>
      <c r="S23" s="26"/>
    </row>
    <row r="24" spans="1:19" x14ac:dyDescent="0.25">
      <c r="A24" s="16" t="s">
        <v>116</v>
      </c>
      <c r="B24" t="s">
        <v>24</v>
      </c>
      <c r="C24" s="16" t="s">
        <v>35</v>
      </c>
      <c r="D24" s="10">
        <f>SUMIFS(StaffAllocYR2[Staff Cost],StaffAllocYR2[Project],BudgetYr2[[#This Row],[PIN]],StaffAllocYR2[Agency],BudgetYr2[[#This Row],[Agency]])</f>
        <v>0</v>
      </c>
      <c r="E24" s="10">
        <f>SUMIFS(DirectExpensesYr2[Cost],DirectExpensesYr2[Project],BudgetYr2[[#This Row],[PIN]],DirectExpensesYr2[Agency],BudgetYr2[[#This Row],[Agency]])</f>
        <v>33987</v>
      </c>
      <c r="F24" s="10">
        <f>SUMIFS(SupportCostsYr2[Cost],SupportCostsYr2[Project],BudgetYr2[[#This Row],[PIN]],SupportCostsYr2[Agency],BudgetYr2[[#This Row],[Agency]])</f>
        <v>0</v>
      </c>
      <c r="G24" s="10">
        <f>SUMIFS(ConsultantYr2[Cost],ConsultantYr2[Project],BudgetYr2[[#This Row],[PIN]],ConsultantYr2[Agency],BudgetYr2[[#This Row],[Agency]])</f>
        <v>0</v>
      </c>
      <c r="H24" s="10">
        <f>SUMIFS(ConsultantYr2[FHWA_Consultant Cost],ConsultantYr2[Funds Year],2021,ConsultantYr2[Project],BudgetYr2[[#This Row],[PIN]],ConsultantYr2[Agency],BudgetYr2[[#This Row],[Agency]])</f>
        <v>0</v>
      </c>
      <c r="I24" s="10">
        <f>SUMIFS(ConsultantYr2[FTA_Consultant Cost],ConsultantYr2[Funds Year],2021,ConsultantYr2[Project],BudgetYr2[[#This Row],[PIN]],ConsultantYr2[Agency],BudgetYr2[[#This Row],[Agency]])</f>
        <v>0</v>
      </c>
      <c r="J24" s="10"/>
      <c r="K24" s="10"/>
      <c r="L24" s="10">
        <f>SUMIFS(ConsultantYr2[FHWA_Consultant Cost],ConsultantYr2[Funds Year],2022,ConsultantYr2[Project],BudgetYr2[[#This Row],[PIN]],ConsultantYr2[Agency],BudgetYr2[[#This Row],[Agency]])</f>
        <v>0</v>
      </c>
      <c r="M24" s="10">
        <f>SUMIFS(ConsultantYr2[FTA_Consultant Cost],ConsultantYr2[Funds Year],2022,ConsultantYr2[Project],BudgetYr2[[#This Row],[PIN]],ConsultantYr2[Agency],BudgetYr2[[#This Row],[Agency]])</f>
        <v>0</v>
      </c>
      <c r="N24" s="23" cm="1">
        <f t="array" ref="N24">SplitYr2[[FHWA]:[FHWA]]*(SUM(BudgetYr2[[#This Row],[Staff Cost]:[Support Costs]])-SUM(BudgetYr2[[#This Row],[FHWA_Staff_Other_OLD]:[FTA_Staff_Other_Old]]))</f>
        <v>28663.734939759037</v>
      </c>
      <c r="O24" s="10" cm="1">
        <f t="array" ref="O24">SplitYr2[[FTA]:[FTA]]*(SUM(BudgetYr2[[#This Row],[Staff Cost]:[Support Costs]])-SUM(BudgetYr2[[#This Row],[FHWA_Staff_Other_OLD]:[FTA_Staff_Other_Old]]))</f>
        <v>5323.265060240964</v>
      </c>
      <c r="R24" s="26"/>
      <c r="S24" s="26"/>
    </row>
    <row r="25" spans="1:19" x14ac:dyDescent="0.25">
      <c r="A25" s="16" t="s">
        <v>44</v>
      </c>
      <c r="B25" t="s">
        <v>24</v>
      </c>
      <c r="C25" s="16" t="s">
        <v>36</v>
      </c>
      <c r="D25" s="10">
        <f>SUMIFS(StaffAllocYR2[Staff Cost],StaffAllocYR2[Project],BudgetYr2[[#This Row],[PIN]],StaffAllocYR2[Agency],BudgetYr2[[#This Row],[Agency]])</f>
        <v>0</v>
      </c>
      <c r="E25" s="10">
        <f>SUMIFS(DirectExpensesYr2[Cost],DirectExpensesYr2[Project],BudgetYr2[[#This Row],[PIN]],DirectExpensesYr2[Agency],BudgetYr2[[#This Row],[Agency]])</f>
        <v>0</v>
      </c>
      <c r="F25" s="10">
        <f>SUMIFS(SupportCostsYr2[Cost],SupportCostsYr2[Project],BudgetYr2[[#This Row],[PIN]],SupportCostsYr2[Agency],BudgetYr2[[#This Row],[Agency]])</f>
        <v>0</v>
      </c>
      <c r="G25" s="10">
        <f>SUMIFS(ConsultantYr2[Cost],ConsultantYr2[Project],BudgetYr2[[#This Row],[PIN]],ConsultantYr2[Agency],BudgetYr2[[#This Row],[Agency]])</f>
        <v>84229</v>
      </c>
      <c r="H25" s="10">
        <f>SUMIFS(ConsultantYr2[FHWA_Consultant Cost],ConsultantYr2[Funds Year],2021,ConsultantYr2[Project],BudgetYr2[[#This Row],[PIN]],ConsultantYr2[Agency],BudgetYr2[[#This Row],[Agency]])</f>
        <v>84229</v>
      </c>
      <c r="I25" s="10">
        <f>SUMIFS(ConsultantYr2[FTA_Consultant Cost],ConsultantYr2[Funds Year],2021,ConsultantYr2[Project],BudgetYr2[[#This Row],[PIN]],ConsultantYr2[Agency],BudgetYr2[[#This Row],[Agency]])</f>
        <v>0</v>
      </c>
      <c r="J25" s="10"/>
      <c r="K25" s="10"/>
      <c r="L25" s="10">
        <f>SUMIFS(ConsultantYr2[FHWA_Consultant Cost],ConsultantYr2[Funds Year],2022,ConsultantYr2[Project],BudgetYr2[[#This Row],[PIN]],ConsultantYr2[Agency],BudgetYr2[[#This Row],[Agency]])</f>
        <v>0</v>
      </c>
      <c r="M25" s="10">
        <f>SUMIFS(ConsultantYr2[FTA_Consultant Cost],ConsultantYr2[Funds Year],2022,ConsultantYr2[Project],BudgetYr2[[#This Row],[PIN]],ConsultantYr2[Agency],BudgetYr2[[#This Row],[Agency]])</f>
        <v>0</v>
      </c>
      <c r="N25" s="23" cm="1">
        <f t="array" ref="N25">SplitYr2[[FHWA]:[FHWA]]*(SUM(BudgetYr2[[#This Row],[Staff Cost]:[Support Costs]])-SUM(BudgetYr2[[#This Row],[FHWA_Staff_Other_OLD]:[FTA_Staff_Other_Old]]))</f>
        <v>0</v>
      </c>
      <c r="O25" s="10" cm="1">
        <f t="array" ref="O25">SplitYr2[[FTA]:[FTA]]*(SUM(BudgetYr2[[#This Row],[Staff Cost]:[Support Costs]])-SUM(BudgetYr2[[#This Row],[FHWA_Staff_Other_OLD]:[FTA_Staff_Other_Old]]))</f>
        <v>0</v>
      </c>
      <c r="R25" s="26"/>
      <c r="S25" s="26"/>
    </row>
    <row r="26" spans="1:19" x14ac:dyDescent="0.25">
      <c r="A26" s="16" t="s">
        <v>45</v>
      </c>
      <c r="B26" t="s">
        <v>24</v>
      </c>
      <c r="C26" s="16" t="s">
        <v>37</v>
      </c>
      <c r="D26" s="10">
        <f>SUMIFS(StaffAllocYR2[Staff Cost],StaffAllocYR2[Project],BudgetYr2[[#This Row],[PIN]],StaffAllocYR2[Agency],BudgetYr2[[#This Row],[Agency]])</f>
        <v>252989</v>
      </c>
      <c r="E26" s="10">
        <f>SUMIFS(DirectExpensesYr2[Cost],DirectExpensesYr2[Project],BudgetYr2[[#This Row],[PIN]],DirectExpensesYr2[Agency],BudgetYr2[[#This Row],[Agency]])</f>
        <v>10791</v>
      </c>
      <c r="F26" s="10">
        <f>SUMIFS(SupportCostsYr2[Cost],SupportCostsYr2[Project],BudgetYr2[[#This Row],[PIN]],SupportCostsYr2[Agency],BudgetYr2[[#This Row],[Agency]])</f>
        <v>49886</v>
      </c>
      <c r="G26" s="10">
        <f>SUMIFS(ConsultantYr2[Cost],ConsultantYr2[Project],BudgetYr2[[#This Row],[PIN]],ConsultantYr2[Agency],BudgetYr2[[#This Row],[Agency]])</f>
        <v>0</v>
      </c>
      <c r="H26" s="10">
        <f>SUMIFS(ConsultantYr2[FHWA_Consultant Cost],ConsultantYr2[Funds Year],2021,ConsultantYr2[Project],BudgetYr2[[#This Row],[PIN]],ConsultantYr2[Agency],BudgetYr2[[#This Row],[Agency]])</f>
        <v>0</v>
      </c>
      <c r="I26" s="10">
        <f>SUMIFS(ConsultantYr2[FTA_Consultant Cost],ConsultantYr2[Funds Year],2021,ConsultantYr2[Project],BudgetYr2[[#This Row],[PIN]],ConsultantYr2[Agency],BudgetYr2[[#This Row],[Agency]])</f>
        <v>0</v>
      </c>
      <c r="J26" s="10">
        <v>93670.366456647142</v>
      </c>
      <c r="K26" s="10">
        <v>46832.058975551437</v>
      </c>
      <c r="L26" s="10">
        <f>SUMIFS(ConsultantYr2[FHWA_Consultant Cost],ConsultantYr2[Funds Year],2022,ConsultantYr2[Project],BudgetYr2[[#This Row],[PIN]],ConsultantYr2[Agency],BudgetYr2[[#This Row],[Agency]])</f>
        <v>0</v>
      </c>
      <c r="M26" s="10">
        <f>SUMIFS(ConsultantYr2[FTA_Consultant Cost],ConsultantYr2[Funds Year],2022,ConsultantYr2[Project],BudgetYr2[[#This Row],[PIN]],ConsultantYr2[Agency],BudgetYr2[[#This Row],[Agency]])</f>
        <v>0</v>
      </c>
      <c r="N26" s="23" cm="1">
        <f t="array" ref="N26">SplitYr2[[FHWA]:[FHWA]]*(SUM(BudgetYr2[[#This Row],[Staff Cost]:[Support Costs]])-SUM(BudgetYr2[[#This Row],[FHWA_Staff_Other_OLD]:[FTA_Staff_Other_Old]]))</f>
        <v>146041.56891260363</v>
      </c>
      <c r="O26" s="10" cm="1">
        <f t="array" ref="O26">SplitYr2[[FTA]:[FTA]]*(SUM(BudgetYr2[[#This Row],[Staff Cost]:[Support Costs]])-SUM(BudgetYr2[[#This Row],[FHWA_Staff_Other_OLD]:[FTA_Staff_Other_Old]]))</f>
        <v>27122.005655197816</v>
      </c>
      <c r="R26" s="26"/>
      <c r="S26" s="26"/>
    </row>
    <row r="27" spans="1:19" x14ac:dyDescent="0.25">
      <c r="A27" s="16" t="s">
        <v>128</v>
      </c>
      <c r="B27" t="s">
        <v>24</v>
      </c>
      <c r="C27" s="16" t="s">
        <v>125</v>
      </c>
      <c r="D27" s="10">
        <f>SUMIFS(StaffAllocYR2[Staff Cost],StaffAllocYR2[Project],BudgetYr2[[#This Row],[PIN]],StaffAllocYR2[Agency],BudgetYr2[[#This Row],[Agency]])</f>
        <v>0</v>
      </c>
      <c r="E27" s="10">
        <f>SUMIFS(DirectExpensesYr2[Cost],DirectExpensesYr2[Project],BudgetYr2[[#This Row],[PIN]],DirectExpensesYr2[Agency],BudgetYr2[[#This Row],[Agency]])</f>
        <v>0</v>
      </c>
      <c r="F27" s="10">
        <f>SUMIFS(SupportCostsYr2[Cost],SupportCostsYr2[Project],BudgetYr2[[#This Row],[PIN]],SupportCostsYr2[Agency],BudgetYr2[[#This Row],[Agency]])</f>
        <v>0</v>
      </c>
      <c r="G27" s="10">
        <f>SUMIFS(ConsultantYr2[Cost],ConsultantYr2[Project],BudgetYr2[[#This Row],[PIN]],ConsultantYr2[Agency],BudgetYr2[[#This Row],[Agency]])</f>
        <v>0</v>
      </c>
      <c r="H27" s="10">
        <f>SUMIFS(ConsultantYr2[FHWA_Consultant Cost],ConsultantYr2[Funds Year],2021,ConsultantYr2[Project],BudgetYr2[[#This Row],[PIN]],ConsultantYr2[Agency],BudgetYr2[[#This Row],[Agency]])</f>
        <v>0</v>
      </c>
      <c r="I27" s="10">
        <f>SUMIFS(ConsultantYr2[FTA_Consultant Cost],ConsultantYr2[Funds Year],2021,ConsultantYr2[Project],BudgetYr2[[#This Row],[PIN]],ConsultantYr2[Agency],BudgetYr2[[#This Row],[Agency]])</f>
        <v>0</v>
      </c>
      <c r="J27" s="10"/>
      <c r="K27" s="10"/>
      <c r="L27" s="10">
        <f>SUMIFS(ConsultantYr2[FHWA_Consultant Cost],ConsultantYr2[Funds Year],2022,ConsultantYr2[Project],BudgetYr2[[#This Row],[PIN]],ConsultantYr2[Agency],BudgetYr2[[#This Row],[Agency]])</f>
        <v>0</v>
      </c>
      <c r="M27" s="10">
        <f>SUMIFS(ConsultantYr2[FTA_Consultant Cost],ConsultantYr2[Funds Year],2022,ConsultantYr2[Project],BudgetYr2[[#This Row],[PIN]],ConsultantYr2[Agency],BudgetYr2[[#This Row],[Agency]])</f>
        <v>0</v>
      </c>
      <c r="N27" s="23" cm="1">
        <f t="array" ref="N27">SplitYr2[[FHWA]:[FHWA]]*(SUM(BudgetYr2[[#This Row],[Staff Cost]:[Support Costs]])-SUM(BudgetYr2[[#This Row],[FHWA_Staff_Other_OLD]:[FTA_Staff_Other_Old]]))</f>
        <v>0</v>
      </c>
      <c r="O27" s="10" cm="1">
        <f t="array" ref="O27">SplitYr2[[FTA]:[FTA]]*(SUM(BudgetYr2[[#This Row],[Staff Cost]:[Support Costs]])-SUM(BudgetYr2[[#This Row],[FHWA_Staff_Other_OLD]:[FTA_Staff_Other_Old]]))</f>
        <v>0</v>
      </c>
      <c r="R27" s="26"/>
      <c r="S27" s="26"/>
    </row>
    <row r="28" spans="1:19" x14ac:dyDescent="0.25">
      <c r="A28" s="16" t="s">
        <v>129</v>
      </c>
      <c r="B28" t="s">
        <v>24</v>
      </c>
      <c r="C28" s="16" t="s">
        <v>126</v>
      </c>
      <c r="D28" s="10">
        <f>SUMIFS(StaffAllocYR2[Staff Cost],StaffAllocYR2[Project],BudgetYr2[[#This Row],[PIN]],StaffAllocYR2[Agency],BudgetYr2[[#This Row],[Agency]])</f>
        <v>0</v>
      </c>
      <c r="E28" s="10">
        <f>SUMIFS(DirectExpensesYr2[Cost],DirectExpensesYr2[Project],BudgetYr2[[#This Row],[PIN]],DirectExpensesYr2[Agency],BudgetYr2[[#This Row],[Agency]])</f>
        <v>44936</v>
      </c>
      <c r="F28" s="10">
        <f>SUMIFS(SupportCostsYr2[Cost],SupportCostsYr2[Project],BudgetYr2[[#This Row],[PIN]],SupportCostsYr2[Agency],BudgetYr2[[#This Row],[Agency]])</f>
        <v>317286</v>
      </c>
      <c r="G28" s="10">
        <f>SUMIFS(ConsultantYr2[Cost],ConsultantYr2[Project],BudgetYr2[[#This Row],[PIN]],ConsultantYr2[Agency],BudgetYr2[[#This Row],[Agency]])</f>
        <v>0</v>
      </c>
      <c r="H28" s="10">
        <f>SUMIFS(ConsultantYr2[FHWA_Consultant Cost],ConsultantYr2[Funds Year],2021,ConsultantYr2[Project],BudgetYr2[[#This Row],[PIN]],ConsultantYr2[Agency],BudgetYr2[[#This Row],[Agency]])</f>
        <v>0</v>
      </c>
      <c r="I28" s="10">
        <f>SUMIFS(ConsultantYr2[FTA_Consultant Cost],ConsultantYr2[Funds Year],2021,ConsultantYr2[Project],BudgetYr2[[#This Row],[PIN]],ConsultantYr2[Agency],BudgetYr2[[#This Row],[Agency]])</f>
        <v>0</v>
      </c>
      <c r="J28" s="10"/>
      <c r="K28" s="10"/>
      <c r="L28" s="10">
        <f>SUMIFS(ConsultantYr2[FHWA_Consultant Cost],ConsultantYr2[Funds Year],2022,ConsultantYr2[Project],BudgetYr2[[#This Row],[PIN]],ConsultantYr2[Agency],BudgetYr2[[#This Row],[Agency]])</f>
        <v>0</v>
      </c>
      <c r="M28" s="10"/>
      <c r="N28" s="23" cm="1">
        <f t="array" ref="N28">SplitYr2[[FHWA]:[FHWA]]*(SUM(BudgetYr2[[#This Row],[Staff Cost]:[Support Costs]])-SUM(BudgetYr2[[#This Row],[FHWA_Staff_Other_OLD]:[FTA_Staff_Other_Old]]))</f>
        <v>305488.43373493978</v>
      </c>
      <c r="O28" s="10" cm="1">
        <f t="array" ref="O28">SplitYr2[[FTA]:[FTA]]*(SUM(BudgetYr2[[#This Row],[Staff Cost]:[Support Costs]])-SUM(BudgetYr2[[#This Row],[FHWA_Staff_Other_OLD]:[FTA_Staff_Other_Old]]))</f>
        <v>56733.566265060246</v>
      </c>
      <c r="R28" s="26"/>
      <c r="S28" s="26"/>
    </row>
    <row r="29" spans="1:19" x14ac:dyDescent="0.25">
      <c r="D29" s="24">
        <f>SUBTOTAL(109,BudgetYr2[Staff Cost])</f>
        <v>3159390</v>
      </c>
      <c r="E29" s="24">
        <f>SUBTOTAL(109,BudgetYr2[Direct Expenses])</f>
        <v>502182</v>
      </c>
      <c r="F29" s="24">
        <f>SUBTOTAL(109,BudgetYr2[Support Costs])</f>
        <v>768650</v>
      </c>
      <c r="G29" s="24">
        <f>SUBTOTAL(109,BudgetYr2[Consultant Cost])</f>
        <v>1724376.5499999998</v>
      </c>
      <c r="H29" s="24">
        <f>SUBTOTAL(109,BudgetYr2[FHWA Consultant Cost_OLD])</f>
        <v>301947.32499999995</v>
      </c>
      <c r="I29" s="24">
        <f>SUBTOTAL(109,BudgetYr2[FTA Consultant Costs _OLD])</f>
        <v>72429.225000000006</v>
      </c>
      <c r="J29" s="24">
        <f>SUBTOTAL(109,BudgetYr2[FHWA_Staff_Other_OLD])</f>
        <v>186818.77535704116</v>
      </c>
      <c r="K29" s="24">
        <f>SUBTOTAL(109,BudgetYr2[FTA_Staff_Other_Old])</f>
        <v>93403.156582189113</v>
      </c>
      <c r="L29" s="24">
        <f>SUBTOTAL(109,BudgetYr2[FHWA Consultant Cost New])</f>
        <v>1500000</v>
      </c>
      <c r="M29" s="24">
        <f>SUBTOTAL(109,BudgetYr2[FTA Consultant Costs New])</f>
        <v>350000</v>
      </c>
      <c r="N29" s="24">
        <f>SUBTOTAL(109,BudgetYr2[FHWA_Staff_Other New])</f>
        <v>3500000.0574006499</v>
      </c>
      <c r="O29" s="24">
        <f>SUBTOTAL(109,BudgetYr2[FTA_Staff_Other New])</f>
        <v>650000.01066012064</v>
      </c>
    </row>
    <row r="34" spans="2:4" x14ac:dyDescent="0.25">
      <c r="B34" s="43" t="s">
        <v>139</v>
      </c>
      <c r="C34" s="43"/>
      <c r="D34" s="43"/>
    </row>
    <row r="35" spans="2:4" x14ac:dyDescent="0.25">
      <c r="B35" t="s">
        <v>21</v>
      </c>
      <c r="C35" t="s">
        <v>109</v>
      </c>
      <c r="D35" t="s">
        <v>108</v>
      </c>
    </row>
    <row r="36" spans="2:4" x14ac:dyDescent="0.25">
      <c r="B36" t="s">
        <v>22</v>
      </c>
      <c r="C36" s="10">
        <v>322553.12932268734</v>
      </c>
      <c r="D36" s="10">
        <v>161265.80632285768</v>
      </c>
    </row>
    <row r="37" spans="2:4" x14ac:dyDescent="0.25">
      <c r="B37" t="s">
        <v>23</v>
      </c>
      <c r="C37" s="10">
        <v>93148.408900394032</v>
      </c>
      <c r="D37" s="10">
        <v>46571.097606637675</v>
      </c>
    </row>
    <row r="38" spans="2:4" x14ac:dyDescent="0.25">
      <c r="B38" t="s">
        <v>24</v>
      </c>
      <c r="C38" s="10">
        <v>93670.366456647142</v>
      </c>
      <c r="D38" s="10">
        <v>46832.058975551437</v>
      </c>
    </row>
  </sheetData>
  <mergeCells count="1">
    <mergeCell ref="B34:D34"/>
  </mergeCells>
  <phoneticPr fontId="4" type="noConversion"/>
  <pageMargins left="0.7" right="0.7" top="0.75" bottom="0.75" header="0.3" footer="0.3"/>
  <tableParts count="2">
    <tablePart r:id="rId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E4CF-A248-4CA7-B1F7-60A9B77CB41D}">
  <dimension ref="A1:L7"/>
  <sheetViews>
    <sheetView workbookViewId="0">
      <selection activeCell="J14" sqref="J14"/>
    </sheetView>
  </sheetViews>
  <sheetFormatPr defaultRowHeight="15" x14ac:dyDescent="0.25"/>
  <cols>
    <col min="1" max="1" width="13.5703125" bestFit="1" customWidth="1"/>
    <col min="2" max="2" width="10.5703125" bestFit="1" customWidth="1"/>
    <col min="3" max="3" width="7.28515625" bestFit="1" customWidth="1"/>
    <col min="4" max="4" width="17" bestFit="1" customWidth="1"/>
    <col min="5" max="5" width="13" bestFit="1" customWidth="1"/>
    <col min="6" max="6" width="15.140625" bestFit="1" customWidth="1"/>
    <col min="7" max="7" width="10.85546875" bestFit="1" customWidth="1"/>
    <col min="8" max="8" width="8.5703125" bestFit="1" customWidth="1"/>
    <col min="9" max="10" width="24.140625" bestFit="1" customWidth="1"/>
    <col min="11" max="11" width="21.7109375" bestFit="1" customWidth="1"/>
    <col min="12" max="12" width="14.28515625" bestFit="1" customWidth="1"/>
  </cols>
  <sheetData>
    <row r="1" spans="1:12" x14ac:dyDescent="0.25">
      <c r="A1" t="s">
        <v>56</v>
      </c>
      <c r="B1" t="s">
        <v>57</v>
      </c>
      <c r="C1" t="s">
        <v>25</v>
      </c>
      <c r="D1" t="s">
        <v>21</v>
      </c>
      <c r="E1" t="s">
        <v>130</v>
      </c>
      <c r="F1" t="s">
        <v>64</v>
      </c>
      <c r="G1" t="s">
        <v>110</v>
      </c>
      <c r="H1" t="s">
        <v>75</v>
      </c>
      <c r="I1" t="s">
        <v>76</v>
      </c>
      <c r="J1" t="s">
        <v>103</v>
      </c>
      <c r="K1" t="s">
        <v>104</v>
      </c>
      <c r="L1" t="s">
        <v>162</v>
      </c>
    </row>
    <row r="2" spans="1:12" x14ac:dyDescent="0.25">
      <c r="A2" t="s">
        <v>74</v>
      </c>
      <c r="B2" t="s">
        <v>70</v>
      </c>
      <c r="C2" t="s">
        <v>45</v>
      </c>
      <c r="D2" t="s">
        <v>23</v>
      </c>
      <c r="E2">
        <v>2021</v>
      </c>
      <c r="F2" s="22">
        <v>145289.09999999998</v>
      </c>
      <c r="G2" s="25">
        <v>1</v>
      </c>
      <c r="H2" s="9">
        <v>1</v>
      </c>
      <c r="I2" s="9">
        <v>0</v>
      </c>
      <c r="J2" s="10">
        <f>ConsultantChargesYr2[[#This Row],[Cost]]*ConsultantChargesYr2[[#This Row],[% Completed]]*ConsultantChargesYr2[[#This Row],[FHWA %]]</f>
        <v>145289.09999999998</v>
      </c>
      <c r="K2" s="10">
        <f>ConsultantChargesYr2[[#This Row],[Cost]]*ConsultantChargesYr2[[#This Row],[% Completed]]*ConsultantChargesYr2[[#This Row],[FTA %]]</f>
        <v>0</v>
      </c>
      <c r="L2" s="10">
        <f>SUM(ConsultantChargesYr2[[#This Row],[FHWA_Consultant Cost]:[FTA_Consultant Cost]])</f>
        <v>145289.09999999998</v>
      </c>
    </row>
    <row r="3" spans="1:12" x14ac:dyDescent="0.25">
      <c r="A3" t="s">
        <v>74</v>
      </c>
      <c r="B3" t="s">
        <v>70</v>
      </c>
      <c r="C3" t="s">
        <v>44</v>
      </c>
      <c r="D3" t="s">
        <v>24</v>
      </c>
      <c r="E3">
        <v>2021</v>
      </c>
      <c r="F3" s="22">
        <v>84229</v>
      </c>
      <c r="G3" s="25">
        <v>1</v>
      </c>
      <c r="H3" s="9">
        <v>1</v>
      </c>
      <c r="I3" s="9">
        <v>0</v>
      </c>
      <c r="J3" s="10">
        <f>ConsultantChargesYr2[[#This Row],[Cost]]*ConsultantChargesYr2[[#This Row],[% Completed]]*ConsultantChargesYr2[[#This Row],[FHWA %]]</f>
        <v>84229</v>
      </c>
      <c r="K3" s="10">
        <f>ConsultantChargesYr2[[#This Row],[Cost]]*ConsultantChargesYr2[[#This Row],[% Completed]]*ConsultantChargesYr2[[#This Row],[FTA %]]</f>
        <v>0</v>
      </c>
      <c r="L3" s="10">
        <f>SUM(ConsultantChargesYr2[[#This Row],[FHWA_Consultant Cost]:[FTA_Consultant Cost]])</f>
        <v>84229</v>
      </c>
    </row>
    <row r="4" spans="1:12" x14ac:dyDescent="0.25">
      <c r="A4" t="s">
        <v>74</v>
      </c>
      <c r="B4" t="s">
        <v>70</v>
      </c>
      <c r="C4" t="s">
        <v>45</v>
      </c>
      <c r="D4" t="s">
        <v>22</v>
      </c>
      <c r="E4">
        <v>2021</v>
      </c>
      <c r="F4" s="22">
        <v>144858.45000000001</v>
      </c>
      <c r="G4" s="25">
        <v>1</v>
      </c>
      <c r="H4" s="9">
        <v>0.5</v>
      </c>
      <c r="I4" s="9">
        <v>0.5</v>
      </c>
      <c r="J4" s="10">
        <f>ConsultantChargesYr2[[#This Row],[Cost]]*ConsultantChargesYr2[[#This Row],[% Completed]]*ConsultantChargesYr2[[#This Row],[FHWA %]]</f>
        <v>72429.225000000006</v>
      </c>
      <c r="K4" s="10">
        <f>ConsultantChargesYr2[[#This Row],[Cost]]*ConsultantChargesYr2[[#This Row],[% Completed]]*ConsultantChargesYr2[[#This Row],[FTA %]]</f>
        <v>72429.225000000006</v>
      </c>
      <c r="L4" s="10">
        <f>SUM(ConsultantChargesYr2[[#This Row],[FHWA_Consultant Cost]:[FTA_Consultant Cost]])</f>
        <v>144858.45000000001</v>
      </c>
    </row>
    <row r="5" spans="1:12" x14ac:dyDescent="0.25">
      <c r="A5" t="s">
        <v>74</v>
      </c>
      <c r="B5" t="s">
        <v>70</v>
      </c>
      <c r="C5" s="16" t="s">
        <v>128</v>
      </c>
      <c r="D5" t="s">
        <v>22</v>
      </c>
      <c r="E5">
        <v>2022</v>
      </c>
      <c r="F5" s="10">
        <v>1000000</v>
      </c>
      <c r="G5" s="9">
        <v>0.56000000000000005</v>
      </c>
      <c r="H5" s="9">
        <v>1</v>
      </c>
      <c r="I5" s="9">
        <v>0</v>
      </c>
      <c r="J5" s="10">
        <f>ConsultantChargesYr2[[#This Row],[Cost]]*ConsultantChargesYr2[[#This Row],[% Completed]]*ConsultantChargesYr2[[#This Row],[FHWA %]]</f>
        <v>560000</v>
      </c>
      <c r="K5" s="10">
        <f>ConsultantChargesYr2[[#This Row],[Cost]]*ConsultantChargesYr2[[#This Row],[% Completed]]*ConsultantChargesYr2[[#This Row],[FTA %]]</f>
        <v>0</v>
      </c>
      <c r="L5" s="10">
        <f>SUM(ConsultantChargesYr2[[#This Row],[FHWA_Consultant Cost]:[FTA_Consultant Cost]])</f>
        <v>560000</v>
      </c>
    </row>
    <row r="6" spans="1:12" x14ac:dyDescent="0.25">
      <c r="A6" t="s">
        <v>74</v>
      </c>
      <c r="B6" t="s">
        <v>70</v>
      </c>
      <c r="C6" s="16" t="s">
        <v>129</v>
      </c>
      <c r="D6" t="s">
        <v>23</v>
      </c>
      <c r="E6">
        <v>2022</v>
      </c>
      <c r="F6" s="10">
        <v>350000</v>
      </c>
      <c r="G6" s="9">
        <v>0.78</v>
      </c>
      <c r="H6" s="9">
        <v>0</v>
      </c>
      <c r="I6" s="9">
        <v>1</v>
      </c>
      <c r="J6" s="10">
        <f>ConsultantChargesYr2[[#This Row],[Cost]]*ConsultantChargesYr2[[#This Row],[% Completed]]*ConsultantChargesYr2[[#This Row],[FHWA %]]</f>
        <v>0</v>
      </c>
      <c r="K6" s="10">
        <f>ConsultantChargesYr2[[#This Row],[Cost]]*ConsultantChargesYr2[[#This Row],[% Completed]]*ConsultantChargesYr2[[#This Row],[FTA %]]</f>
        <v>273000</v>
      </c>
      <c r="L6" s="10">
        <f>SUM(ConsultantChargesYr2[[#This Row],[FHWA_Consultant Cost]:[FTA_Consultant Cost]])</f>
        <v>273000</v>
      </c>
    </row>
    <row r="7" spans="1:12" x14ac:dyDescent="0.25">
      <c r="F7" s="28"/>
      <c r="G7" s="29"/>
      <c r="H7" s="29"/>
      <c r="I7" s="29"/>
      <c r="J7" s="10">
        <f>SUM(ConsultantChargesYr2[FHWA_Consultant Cost])</f>
        <v>861947.32499999995</v>
      </c>
      <c r="K7" s="10">
        <f>SUM(ConsultantChargesYr2[FTA_Consultant Cost])</f>
        <v>345429.22499999998</v>
      </c>
      <c r="L7" s="10">
        <f>SUM(ConsultantChargesYr2[Total])</f>
        <v>1207376.55</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EB531-7AAF-4F48-97EC-BA09594221D8}">
  <dimension ref="A1:O61"/>
  <sheetViews>
    <sheetView topLeftCell="A10" workbookViewId="0">
      <selection activeCell="G24" sqref="G24"/>
    </sheetView>
  </sheetViews>
  <sheetFormatPr defaultRowHeight="15" x14ac:dyDescent="0.25"/>
  <cols>
    <col min="1" max="1" width="17" bestFit="1" customWidth="1"/>
    <col min="2" max="3" width="35.28515625" bestFit="1" customWidth="1"/>
    <col min="4" max="4" width="11.7109375" bestFit="1" customWidth="1"/>
    <col min="5" max="5" width="15.5703125" bestFit="1" customWidth="1"/>
    <col min="6" max="6" width="17.28515625" bestFit="1" customWidth="1"/>
    <col min="7" max="7" width="23.42578125" bestFit="1" customWidth="1"/>
    <col min="8" max="8" width="28.28515625" bestFit="1" customWidth="1"/>
    <col min="9" max="9" width="27.140625" bestFit="1" customWidth="1"/>
    <col min="10" max="10" width="23.28515625" bestFit="1" customWidth="1"/>
    <col min="11" max="11" width="20.42578125" bestFit="1" customWidth="1"/>
    <col min="12" max="12" width="28.28515625" bestFit="1" customWidth="1"/>
    <col min="13" max="13" width="26.7109375" bestFit="1" customWidth="1"/>
    <col min="14" max="14" width="25.140625" bestFit="1" customWidth="1"/>
    <col min="15" max="15" width="22.7109375" bestFit="1" customWidth="1"/>
  </cols>
  <sheetData>
    <row r="1" spans="1:15" x14ac:dyDescent="0.25">
      <c r="A1" t="s">
        <v>38</v>
      </c>
      <c r="B1" t="s">
        <v>21</v>
      </c>
      <c r="C1" t="s">
        <v>25</v>
      </c>
      <c r="D1" t="s">
        <v>77</v>
      </c>
      <c r="E1" t="s">
        <v>78</v>
      </c>
      <c r="F1" t="s">
        <v>79</v>
      </c>
      <c r="G1" t="s">
        <v>80</v>
      </c>
      <c r="H1" t="s">
        <v>131</v>
      </c>
      <c r="I1" t="s">
        <v>132</v>
      </c>
      <c r="J1" t="s">
        <v>133</v>
      </c>
      <c r="K1" t="s">
        <v>134</v>
      </c>
      <c r="L1" t="s">
        <v>135</v>
      </c>
      <c r="M1" t="s">
        <v>136</v>
      </c>
      <c r="N1" t="s">
        <v>137</v>
      </c>
      <c r="O1" t="s">
        <v>138</v>
      </c>
    </row>
    <row r="2" spans="1:15" x14ac:dyDescent="0.25">
      <c r="A2" s="16" t="s">
        <v>113</v>
      </c>
      <c r="B2" t="s">
        <v>22</v>
      </c>
      <c r="C2" s="16" t="s">
        <v>31</v>
      </c>
      <c r="D2" s="10">
        <v>368348.82</v>
      </c>
      <c r="E2" s="10">
        <v>51562.920000000006</v>
      </c>
      <c r="F2" s="10">
        <v>33373.82</v>
      </c>
      <c r="G2" s="10">
        <f>SUMIFS(ConsultantChargesYr2[Total],ConsultantChargesYr2[Project],InvoiceYr2[[#This Row],[PIN]],ConsultantChargesYr2[Agency],InvoiceYr2[[#This Row],[Agency]])</f>
        <v>0</v>
      </c>
      <c r="H2" s="10">
        <f>SUMIFS(ConsultantChargesYr2[FHWA_Consultant Cost],ConsultantChargesYr2[Funds Year],2021,ConsultantChargesYr2[Project],InvoiceYr2[[#This Row],[PIN]],ConsultantChargesYr2[Agency],InvoiceYr2[[#This Row],[Agency]])</f>
        <v>0</v>
      </c>
      <c r="I2" s="10">
        <f>SUMIFS(ConsultantChargesYr2[FTA_Consultant Cost],ConsultantChargesYr2[Funds Year],2021,ConsultantChargesYr2[Project],InvoiceYr2[[#This Row],[PIN]],ConsultantChargesYr2[Agency],InvoiceYr2[[#This Row],[Agency]])</f>
        <v>0</v>
      </c>
      <c r="J2" s="10"/>
      <c r="K2" s="10"/>
      <c r="L2" s="10">
        <f>SUMIFS(ConsultantChargesYr2[FHWA_Consultant Cost],ConsultantChargesYr2[Funds Year],2022,ConsultantChargesYr2[Project],InvoiceYr2[[#This Row],[PIN]],ConsultantChargesYr2[Agency],InvoiceYr2[[#This Row],[Agency]])</f>
        <v>0</v>
      </c>
      <c r="M2" s="10">
        <f>SUMIFS(ConsultantChargesYr2[FTA_Consultant Cost],ConsultantChargesYr2[Funds Year],2022,ConsultantChargesYr2[Project],InvoiceYr2[[#This Row],[PIN]],ConsultantChargesYr2[Agency],InvoiceYr2[[#This Row],[Agency]])</f>
        <v>0</v>
      </c>
      <c r="N2" s="23" cm="1">
        <f t="array" ref="N2">SplitYr2[[FHWA]:[FHWA]]*(SUM(InvoiceYr2[[#This Row],[Staff Cost]:[Support Costs]])-SUM(InvoiceYr2[[#This Row],[FHWA_Staff_Other_OLD]:[FTA_Staff_Other_Old]]))</f>
        <v>382289.02650602412</v>
      </c>
      <c r="O2" s="10" cm="1">
        <f t="array" ref="O2">SplitYr2[[FTA]:[FTA]]*(SUM(InvoiceYr2[[#This Row],[Staff Cost]:[Support Costs]])-SUM(InvoiceYr2[[#This Row],[FHWA_Staff_Other_OLD]:[FTA_Staff_Other_Old]]))</f>
        <v>70996.533493975905</v>
      </c>
    </row>
    <row r="3" spans="1:15" x14ac:dyDescent="0.25">
      <c r="A3" s="16" t="s">
        <v>124</v>
      </c>
      <c r="B3" t="s">
        <v>22</v>
      </c>
      <c r="C3" s="16" t="s">
        <v>32</v>
      </c>
      <c r="D3" s="10">
        <v>253814.08</v>
      </c>
      <c r="E3" s="10">
        <v>56457.799999999996</v>
      </c>
      <c r="F3" s="10">
        <v>0</v>
      </c>
      <c r="G3" s="10">
        <f>SUMIFS(ConsultantChargesYr2[Total],ConsultantChargesYr2[Project],InvoiceYr2[[#This Row],[PIN]],ConsultantChargesYr2[Agency],InvoiceYr2[[#This Row],[Agency]])</f>
        <v>0</v>
      </c>
      <c r="H3" s="10">
        <f>SUMIFS(ConsultantChargesYr2[FHWA_Consultant Cost],ConsultantChargesYr2[Funds Year],2021,ConsultantChargesYr2[Project],InvoiceYr2[[#This Row],[PIN]],ConsultantChargesYr2[Agency],InvoiceYr2[[#This Row],[Agency]])</f>
        <v>0</v>
      </c>
      <c r="I3" s="10">
        <f>SUMIFS(ConsultantChargesYr2[FTA_Consultant Cost],ConsultantChargesYr2[Funds Year],2021,ConsultantChargesYr2[Project],InvoiceYr2[[#This Row],[PIN]],ConsultantChargesYr2[Agency],InvoiceYr2[[#This Row],[Agency]])</f>
        <v>0</v>
      </c>
      <c r="J3" s="10"/>
      <c r="K3" s="10"/>
      <c r="L3" s="10">
        <f>SUMIFS(ConsultantChargesYr2[FHWA_Consultant Cost],ConsultantChargesYr2[Funds Year],2022,ConsultantChargesYr2[Project],InvoiceYr2[[#This Row],[PIN]],ConsultantChargesYr2[Agency],InvoiceYr2[[#This Row],[Agency]])</f>
        <v>0</v>
      </c>
      <c r="M3" s="10">
        <f>SUMIFS(ConsultantChargesYr2[FTA_Consultant Cost],ConsultantChargesYr2[Funds Year],2022,ConsultantChargesYr2[Project],InvoiceYr2[[#This Row],[PIN]],ConsultantChargesYr2[Agency],InvoiceYr2[[#This Row],[Agency]])</f>
        <v>0</v>
      </c>
      <c r="N3" s="23" cm="1">
        <f t="array" ref="N3">SplitYr2[[FHWA]:[FHWA]]*(SUM(InvoiceYr2[[#This Row],[Staff Cost]:[Support Costs]])-SUM(InvoiceYr2[[#This Row],[FHWA_Staff_Other_OLD]:[FTA_Staff_Other_Old]]))</f>
        <v>261675.07951807231</v>
      </c>
      <c r="O3" s="10" cm="1">
        <f t="array" ref="O3">SplitYr2[[FTA]:[FTA]]*(SUM(InvoiceYr2[[#This Row],[Staff Cost]:[Support Costs]])-SUM(InvoiceYr2[[#This Row],[FHWA_Staff_Other_OLD]:[FTA_Staff_Other_Old]]))</f>
        <v>48596.800481927712</v>
      </c>
    </row>
    <row r="4" spans="1:15" x14ac:dyDescent="0.25">
      <c r="A4" s="16" t="s">
        <v>114</v>
      </c>
      <c r="B4" t="s">
        <v>22</v>
      </c>
      <c r="C4" s="16" t="s">
        <v>33</v>
      </c>
      <c r="D4" s="10">
        <v>275484.60000000003</v>
      </c>
      <c r="E4" s="10">
        <v>5845.42</v>
      </c>
      <c r="F4" s="10">
        <v>0</v>
      </c>
      <c r="G4" s="10">
        <f>SUMIFS(ConsultantChargesYr2[Total],ConsultantChargesYr2[Project],InvoiceYr2[[#This Row],[PIN]],ConsultantChargesYr2[Agency],InvoiceYr2[[#This Row],[Agency]])</f>
        <v>0</v>
      </c>
      <c r="H4" s="10">
        <f>SUMIFS(ConsultantChargesYr2[FHWA_Consultant Cost],ConsultantChargesYr2[Funds Year],2021,ConsultantChargesYr2[Project],InvoiceYr2[[#This Row],[PIN]],ConsultantChargesYr2[Agency],InvoiceYr2[[#This Row],[Agency]])</f>
        <v>0</v>
      </c>
      <c r="I4" s="10">
        <f>SUMIFS(ConsultantChargesYr2[FTA_Consultant Cost],ConsultantChargesYr2[Funds Year],2021,ConsultantChargesYr2[Project],InvoiceYr2[[#This Row],[PIN]],ConsultantChargesYr2[Agency],InvoiceYr2[[#This Row],[Agency]])</f>
        <v>0</v>
      </c>
      <c r="J4" s="10"/>
      <c r="K4" s="10"/>
      <c r="L4" s="10">
        <f>SUMIFS(ConsultantChargesYr2[FHWA_Consultant Cost],ConsultantChargesYr2[Funds Year],2022,ConsultantChargesYr2[Project],InvoiceYr2[[#This Row],[PIN]],ConsultantChargesYr2[Agency],InvoiceYr2[[#This Row],[Agency]])</f>
        <v>0</v>
      </c>
      <c r="M4" s="10">
        <f>SUMIFS(ConsultantChargesYr2[FTA_Consultant Cost],ConsultantChargesYr2[Funds Year],2022,ConsultantChargesYr2[Project],InvoiceYr2[[#This Row],[PIN]],ConsultantChargesYr2[Agency],InvoiceYr2[[#This Row],[Agency]])</f>
        <v>0</v>
      </c>
      <c r="N4" s="23" cm="1">
        <f t="array" ref="N4">SplitYr2[[FHWA]:[FHWA]]*(SUM(InvoiceYr2[[#This Row],[Staff Cost]:[Support Costs]])-SUM(InvoiceYr2[[#This Row],[FHWA_Staff_Other_OLD]:[FTA_Staff_Other_Old]]))</f>
        <v>237266.28192771086</v>
      </c>
      <c r="O4" s="10" cm="1">
        <f t="array" ref="O4">SplitYr2[[FTA]:[FTA]]*(SUM(InvoiceYr2[[#This Row],[Staff Cost]:[Support Costs]])-SUM(InvoiceYr2[[#This Row],[FHWA_Staff_Other_OLD]:[FTA_Staff_Other_Old]]))</f>
        <v>44063.738072289161</v>
      </c>
    </row>
    <row r="5" spans="1:15" x14ac:dyDescent="0.25">
      <c r="A5" s="16" t="s">
        <v>115</v>
      </c>
      <c r="B5" t="s">
        <v>22</v>
      </c>
      <c r="C5" s="16" t="s">
        <v>34</v>
      </c>
      <c r="D5" s="10">
        <v>144822.58000000002</v>
      </c>
      <c r="E5" s="10">
        <v>70143.360000000001</v>
      </c>
      <c r="F5" s="10">
        <v>159270.87</v>
      </c>
      <c r="G5" s="10">
        <f>SUMIFS(ConsultantChargesYr2[Total],ConsultantChargesYr2[Project],InvoiceYr2[[#This Row],[PIN]],ConsultantChargesYr2[Agency],InvoiceYr2[[#This Row],[Agency]])</f>
        <v>0</v>
      </c>
      <c r="H5" s="10">
        <f>SUMIFS(ConsultantChargesYr2[FHWA_Consultant Cost],ConsultantChargesYr2[Funds Year],2021,ConsultantChargesYr2[Project],InvoiceYr2[[#This Row],[PIN]],ConsultantChargesYr2[Agency],InvoiceYr2[[#This Row],[Agency]])</f>
        <v>0</v>
      </c>
      <c r="I5" s="10">
        <f>SUMIFS(ConsultantChargesYr2[FTA_Consultant Cost],ConsultantChargesYr2[Funds Year],2021,ConsultantChargesYr2[Project],InvoiceYr2[[#This Row],[PIN]],ConsultantChargesYr2[Agency],InvoiceYr2[[#This Row],[Agency]])</f>
        <v>0</v>
      </c>
      <c r="J5" s="10"/>
      <c r="K5" s="10"/>
      <c r="L5" s="10">
        <f>SUMIFS(ConsultantChargesYr2[FHWA_Consultant Cost],ConsultantChargesYr2[Funds Year],2022,ConsultantChargesYr2[Project],InvoiceYr2[[#This Row],[PIN]],ConsultantChargesYr2[Agency],InvoiceYr2[[#This Row],[Agency]])</f>
        <v>0</v>
      </c>
      <c r="M5" s="10">
        <f>SUMIFS(ConsultantChargesYr2[FTA_Consultant Cost],ConsultantChargesYr2[Funds Year],2022,ConsultantChargesYr2[Project],InvoiceYr2[[#This Row],[PIN]],ConsultantChargesYr2[Agency],InvoiceYr2[[#This Row],[Agency]])</f>
        <v>0</v>
      </c>
      <c r="N5" s="23" cm="1">
        <f t="array" ref="N5">SplitYr2[[FHWA]:[FHWA]]*(SUM(InvoiceYr2[[#This Row],[Staff Cost]:[Support Costs]])-SUM(InvoiceYr2[[#This Row],[FHWA_Staff_Other_OLD]:[FTA_Staff_Other_Old]]))</f>
        <v>315621.40602409642</v>
      </c>
      <c r="O5" s="10" cm="1">
        <f t="array" ref="O5">SplitYr2[[FTA]:[FTA]]*(SUM(InvoiceYr2[[#This Row],[Staff Cost]:[Support Costs]])-SUM(InvoiceYr2[[#This Row],[FHWA_Staff_Other_OLD]:[FTA_Staff_Other_Old]]))</f>
        <v>58615.403975903617</v>
      </c>
    </row>
    <row r="6" spans="1:15" x14ac:dyDescent="0.25">
      <c r="A6" s="16" t="s">
        <v>116</v>
      </c>
      <c r="B6" t="s">
        <v>22</v>
      </c>
      <c r="C6" s="16" t="s">
        <v>35</v>
      </c>
      <c r="D6" s="10">
        <v>0</v>
      </c>
      <c r="E6" s="10">
        <v>45089.590000000004</v>
      </c>
      <c r="F6" s="10">
        <v>54450</v>
      </c>
      <c r="G6" s="10">
        <f>SUMIFS(ConsultantChargesYr2[Total],ConsultantChargesYr2[Project],InvoiceYr2[[#This Row],[PIN]],ConsultantChargesYr2[Agency],InvoiceYr2[[#This Row],[Agency]])</f>
        <v>0</v>
      </c>
      <c r="H6" s="10">
        <f>SUMIFS(ConsultantChargesYr2[FHWA_Consultant Cost],ConsultantChargesYr2[Funds Year],2021,ConsultantChargesYr2[Project],InvoiceYr2[[#This Row],[PIN]],ConsultantChargesYr2[Agency],InvoiceYr2[[#This Row],[Agency]])</f>
        <v>0</v>
      </c>
      <c r="I6" s="10">
        <f>SUMIFS(ConsultantChargesYr2[FTA_Consultant Cost],ConsultantChargesYr2[Funds Year],2021,ConsultantChargesYr2[Project],InvoiceYr2[[#This Row],[PIN]],ConsultantChargesYr2[Agency],InvoiceYr2[[#This Row],[Agency]])</f>
        <v>0</v>
      </c>
      <c r="J6" s="10"/>
      <c r="K6" s="10"/>
      <c r="L6" s="10">
        <f>SUMIFS(ConsultantChargesYr2[FHWA_Consultant Cost],ConsultantChargesYr2[Funds Year],2022,ConsultantChargesYr2[Project],InvoiceYr2[[#This Row],[PIN]],ConsultantChargesYr2[Agency],InvoiceYr2[[#This Row],[Agency]])</f>
        <v>0</v>
      </c>
      <c r="M6" s="10">
        <f>SUMIFS(ConsultantChargesYr2[FTA_Consultant Cost],ConsultantChargesYr2[Funds Year],2022,ConsultantChargesYr2[Project],InvoiceYr2[[#This Row],[PIN]],ConsultantChargesYr2[Agency],InvoiceYr2[[#This Row],[Agency]])</f>
        <v>0</v>
      </c>
      <c r="N6" s="23" cm="1">
        <f t="array" ref="N6">SplitYr2[[FHWA]:[FHWA]]*(SUM(InvoiceYr2[[#This Row],[Staff Cost]:[Support Costs]])-SUM(InvoiceYr2[[#This Row],[FHWA_Staff_Other_OLD]:[FTA_Staff_Other_Old]]))</f>
        <v>83949.051807228912</v>
      </c>
      <c r="O6" s="10" cm="1">
        <f t="array" ref="O6">SplitYr2[[FTA]:[FTA]]*(SUM(InvoiceYr2[[#This Row],[Staff Cost]:[Support Costs]])-SUM(InvoiceYr2[[#This Row],[FHWA_Staff_Other_OLD]:[FTA_Staff_Other_Old]]))</f>
        <v>15590.538192771084</v>
      </c>
    </row>
    <row r="7" spans="1:15" x14ac:dyDescent="0.25">
      <c r="A7" s="16" t="s">
        <v>44</v>
      </c>
      <c r="B7" t="s">
        <v>22</v>
      </c>
      <c r="C7" s="16" t="s">
        <v>36</v>
      </c>
      <c r="D7" s="10">
        <v>135298.80000000002</v>
      </c>
      <c r="E7" s="10">
        <v>0</v>
      </c>
      <c r="F7" s="10">
        <v>0</v>
      </c>
      <c r="G7" s="10">
        <f>SUMIFS(ConsultantChargesYr2[Total],ConsultantChargesYr2[Project],InvoiceYr2[[#This Row],[PIN]],ConsultantChargesYr2[Agency],InvoiceYr2[[#This Row],[Agency]])</f>
        <v>0</v>
      </c>
      <c r="H7" s="10">
        <f>SUMIFS(ConsultantChargesYr2[FHWA_Consultant Cost],ConsultantChargesYr2[Funds Year],2021,ConsultantChargesYr2[Project],InvoiceYr2[[#This Row],[PIN]],ConsultantChargesYr2[Agency],InvoiceYr2[[#This Row],[Agency]])</f>
        <v>0</v>
      </c>
      <c r="I7" s="10">
        <f>SUMIFS(ConsultantChargesYr2[FTA_Consultant Cost],ConsultantChargesYr2[Funds Year],2021,ConsultantChargesYr2[Project],InvoiceYr2[[#This Row],[PIN]],ConsultantChargesYr2[Agency],InvoiceYr2[[#This Row],[Agency]])</f>
        <v>0</v>
      </c>
      <c r="J7" s="10"/>
      <c r="K7" s="10"/>
      <c r="L7" s="10">
        <f>SUMIFS(ConsultantChargesYr2[FHWA_Consultant Cost],ConsultantChargesYr2[Funds Year],2022,ConsultantChargesYr2[Project],InvoiceYr2[[#This Row],[PIN]],ConsultantChargesYr2[Agency],InvoiceYr2[[#This Row],[Agency]])</f>
        <v>0</v>
      </c>
      <c r="M7" s="10">
        <f>SUMIFS(ConsultantChargesYr2[FTA_Consultant Cost],ConsultantChargesYr2[Funds Year],2022,ConsultantChargesYr2[Project],InvoiceYr2[[#This Row],[PIN]],ConsultantChargesYr2[Agency],InvoiceYr2[[#This Row],[Agency]])</f>
        <v>0</v>
      </c>
      <c r="N7" s="23" cm="1">
        <f t="array" ref="N7">SplitYr2[[FHWA]:[FHWA]]*(SUM(InvoiceYr2[[#This Row],[Staff Cost]:[Support Costs]])-SUM(InvoiceYr2[[#This Row],[FHWA_Staff_Other_OLD]:[FTA_Staff_Other_Old]]))</f>
        <v>114107.42168674701</v>
      </c>
      <c r="O7" s="10" cm="1">
        <f t="array" ref="O7">SplitYr2[[FTA]:[FTA]]*(SUM(InvoiceYr2[[#This Row],[Staff Cost]:[Support Costs]])-SUM(InvoiceYr2[[#This Row],[FHWA_Staff_Other_OLD]:[FTA_Staff_Other_Old]]))</f>
        <v>21191.378313253015</v>
      </c>
    </row>
    <row r="8" spans="1:15" x14ac:dyDescent="0.25">
      <c r="A8" s="16" t="s">
        <v>45</v>
      </c>
      <c r="B8" t="s">
        <v>22</v>
      </c>
      <c r="C8" s="16" t="s">
        <v>37</v>
      </c>
      <c r="D8" s="10">
        <v>390730.56</v>
      </c>
      <c r="E8" s="10">
        <v>72607.849999999991</v>
      </c>
      <c r="F8" s="10">
        <v>0</v>
      </c>
      <c r="G8" s="10">
        <f>SUMIFS(ConsultantChargesYr2[Total],ConsultantChargesYr2[Project],InvoiceYr2[[#This Row],[PIN]],ConsultantChargesYr2[Agency],InvoiceYr2[[#This Row],[Agency]])</f>
        <v>144858.45000000001</v>
      </c>
      <c r="H8" s="10">
        <f>SUMIFS(ConsultantChargesYr2[FHWA_Consultant Cost],ConsultantChargesYr2[Funds Year],2021,ConsultantChargesYr2[Project],InvoiceYr2[[#This Row],[PIN]],ConsultantChargesYr2[Agency],InvoiceYr2[[#This Row],[Agency]])</f>
        <v>72429.225000000006</v>
      </c>
      <c r="I8" s="10">
        <f>SUMIFS(ConsultantChargesYr2[FTA_Consultant Cost],ConsultantChargesYr2[Funds Year],2021,ConsultantChargesYr2[Project],InvoiceYr2[[#This Row],[PIN]],ConsultantChargesYr2[Agency],InvoiceYr2[[#This Row],[Agency]])</f>
        <v>72429.225000000006</v>
      </c>
      <c r="J8" s="10"/>
      <c r="K8" s="10"/>
      <c r="L8" s="10">
        <f>SUMIFS(ConsultantChargesYr2[FHWA_Consultant Cost],ConsultantChargesYr2[Funds Year],2022,ConsultantChargesYr2[Project],InvoiceYr2[[#This Row],[PIN]],ConsultantChargesYr2[Agency],InvoiceYr2[[#This Row],[Agency]])</f>
        <v>0</v>
      </c>
      <c r="M8" s="10">
        <f>SUMIFS(ConsultantChargesYr2[FTA_Consultant Cost],ConsultantChargesYr2[Funds Year],2022,ConsultantChargesYr2[Project],InvoiceYr2[[#This Row],[PIN]],ConsultantChargesYr2[Agency],InvoiceYr2[[#This Row],[Agency]])</f>
        <v>0</v>
      </c>
      <c r="N8" s="23" cm="1">
        <f t="array" ref="N8">SplitYr2[[FHWA]:[FHWA]]*(SUM(InvoiceYr2[[#This Row],[Staff Cost]:[Support Costs]])-SUM(InvoiceYr2[[#This Row],[FHWA_Staff_Other_OLD]:[FTA_Staff_Other_Old]]))</f>
        <v>390767.33373493975</v>
      </c>
      <c r="O8" s="10" cm="1">
        <f t="array" ref="O8">SplitYr2[[FTA]:[FTA]]*(SUM(InvoiceYr2[[#This Row],[Staff Cost]:[Support Costs]])-SUM(InvoiceYr2[[#This Row],[FHWA_Staff_Other_OLD]:[FTA_Staff_Other_Old]]))</f>
        <v>72571.076265060241</v>
      </c>
    </row>
    <row r="9" spans="1:15" x14ac:dyDescent="0.25">
      <c r="A9" s="16" t="s">
        <v>128</v>
      </c>
      <c r="B9" t="s">
        <v>22</v>
      </c>
      <c r="C9" s="16" t="s">
        <v>125</v>
      </c>
      <c r="D9" s="10">
        <v>0</v>
      </c>
      <c r="E9" s="10">
        <v>0</v>
      </c>
      <c r="F9" s="10">
        <v>0</v>
      </c>
      <c r="G9" s="10">
        <f>SUMIFS(ConsultantChargesYr2[Total],ConsultantChargesYr2[Project],InvoiceYr2[[#This Row],[PIN]],ConsultantChargesYr2[Agency],InvoiceYr2[[#This Row],[Agency]])</f>
        <v>560000</v>
      </c>
      <c r="H9" s="10">
        <f>SUMIFS(ConsultantChargesYr2[FHWA_Consultant Cost],ConsultantChargesYr2[Funds Year],2021,ConsultantChargesYr2[Project],InvoiceYr2[[#This Row],[PIN]],ConsultantChargesYr2[Agency],InvoiceYr2[[#This Row],[Agency]])</f>
        <v>0</v>
      </c>
      <c r="I9" s="10">
        <f>SUMIFS(ConsultantChargesYr2[FTA_Consultant Cost],ConsultantChargesYr2[Funds Year],2021,ConsultantChargesYr2[Project],InvoiceYr2[[#This Row],[PIN]],ConsultantChargesYr2[Agency],InvoiceYr2[[#This Row],[Agency]])</f>
        <v>0</v>
      </c>
      <c r="J9" s="10"/>
      <c r="K9" s="10"/>
      <c r="L9" s="10">
        <f>SUMIFS(ConsultantChargesYr2[FHWA_Consultant Cost],ConsultantChargesYr2[Funds Year],2022,ConsultantChargesYr2[Project],InvoiceYr2[[#This Row],[PIN]],ConsultantChargesYr2[Agency],InvoiceYr2[[#This Row],[Agency]])</f>
        <v>560000</v>
      </c>
      <c r="M9" s="10">
        <f>SUMIFS(ConsultantChargesYr2[FTA_Consultant Cost],ConsultantChargesYr2[Funds Year],2022,ConsultantChargesYr2[Project],InvoiceYr2[[#This Row],[PIN]],ConsultantChargesYr2[Agency],InvoiceYr2[[#This Row],[Agency]])</f>
        <v>0</v>
      </c>
      <c r="N9" s="23" cm="1">
        <f t="array" ref="N9">SplitYr2[[FHWA]:[FHWA]]*(SUM(InvoiceYr2[[#This Row],[Staff Cost]:[Support Costs]])-SUM(InvoiceYr2[[#This Row],[FHWA_Staff_Other_OLD]:[FTA_Staff_Other_Old]]))</f>
        <v>0</v>
      </c>
      <c r="O9" s="10" cm="1">
        <f t="array" ref="O9">SplitYr2[[FTA]:[FTA]]*(SUM(InvoiceYr2[[#This Row],[Staff Cost]:[Support Costs]])-SUM(InvoiceYr2[[#This Row],[FHWA_Staff_Other_OLD]:[FTA_Staff_Other_Old]]))</f>
        <v>0</v>
      </c>
    </row>
    <row r="10" spans="1:15" x14ac:dyDescent="0.25">
      <c r="A10" s="16" t="s">
        <v>129</v>
      </c>
      <c r="B10" t="s">
        <v>22</v>
      </c>
      <c r="C10" s="16" t="s">
        <v>126</v>
      </c>
      <c r="D10" s="10">
        <v>0</v>
      </c>
      <c r="E10" s="10">
        <v>2895</v>
      </c>
      <c r="F10" s="10">
        <v>16105.019999999999</v>
      </c>
      <c r="G10" s="10">
        <f>SUMIFS(ConsultantChargesYr2[Total],ConsultantChargesYr2[Project],InvoiceYr2[[#This Row],[PIN]],ConsultantChargesYr2[Agency],InvoiceYr2[[#This Row],[Agency]])</f>
        <v>0</v>
      </c>
      <c r="H10" s="10">
        <f>SUMIFS(ConsultantChargesYr2[FHWA_Consultant Cost],ConsultantChargesYr2[Funds Year],2021,ConsultantChargesYr2[Project],InvoiceYr2[[#This Row],[PIN]],ConsultantChargesYr2[Agency],InvoiceYr2[[#This Row],[Agency]])</f>
        <v>0</v>
      </c>
      <c r="I10" s="10">
        <f>SUMIFS(ConsultantChargesYr2[FTA_Consultant Cost],ConsultantChargesYr2[Funds Year],2021,ConsultantChargesYr2[Project],InvoiceYr2[[#This Row],[PIN]],ConsultantChargesYr2[Agency],InvoiceYr2[[#This Row],[Agency]])</f>
        <v>0</v>
      </c>
      <c r="J10" s="10"/>
      <c r="K10" s="10"/>
      <c r="L10" s="10">
        <f>SUMIFS(ConsultantChargesYr2[FHWA_Consultant Cost],ConsultantChargesYr2[Funds Year],2022,ConsultantChargesYr2[Project],InvoiceYr2[[#This Row],[PIN]],ConsultantChargesYr2[Agency],InvoiceYr2[[#This Row],[Agency]])</f>
        <v>0</v>
      </c>
      <c r="M10" s="10">
        <f>SUMIFS(ConsultantChargesYr2[FTA_Consultant Cost],ConsultantChargesYr2[Funds Year],2022,ConsultantChargesYr2[Project],InvoiceYr2[[#This Row],[PIN]],ConsultantChargesYr2[Agency],InvoiceYr2[[#This Row],[Agency]])</f>
        <v>0</v>
      </c>
      <c r="N10" s="23" cm="1">
        <f t="array" ref="N10">SplitYr2[[FHWA]:[FHWA]]*(SUM(InvoiceYr2[[#This Row],[Staff Cost]:[Support Costs]])-SUM(InvoiceYr2[[#This Row],[FHWA_Staff_Other_OLD]:[FTA_Staff_Other_Old]]))</f>
        <v>16024.113253012047</v>
      </c>
      <c r="O10" s="10" cm="1">
        <f t="array" ref="O10">SplitYr2[[FTA]:[FTA]]*(SUM(InvoiceYr2[[#This Row],[Staff Cost]:[Support Costs]])-SUM(InvoiceYr2[[#This Row],[FHWA_Staff_Other_OLD]:[FTA_Staff_Other_Old]]))</f>
        <v>2975.9067469879515</v>
      </c>
    </row>
    <row r="11" spans="1:15" x14ac:dyDescent="0.25">
      <c r="A11" s="16" t="s">
        <v>113</v>
      </c>
      <c r="B11" t="s">
        <v>23</v>
      </c>
      <c r="C11" s="16" t="s">
        <v>31</v>
      </c>
      <c r="D11" s="10">
        <v>0</v>
      </c>
      <c r="E11" s="10">
        <v>0</v>
      </c>
      <c r="F11" s="10">
        <v>0</v>
      </c>
      <c r="G11" s="10">
        <f>SUMIFS(ConsultantChargesYr2[Total],ConsultantChargesYr2[Project],InvoiceYr2[[#This Row],[PIN]],ConsultantChargesYr2[Agency],InvoiceYr2[[#This Row],[Agency]])</f>
        <v>0</v>
      </c>
      <c r="H11" s="10">
        <f>SUMIFS(ConsultantChargesYr2[FHWA_Consultant Cost],ConsultantChargesYr2[Funds Year],2021,ConsultantChargesYr2[Project],InvoiceYr2[[#This Row],[PIN]],ConsultantChargesYr2[Agency],InvoiceYr2[[#This Row],[Agency]])</f>
        <v>0</v>
      </c>
      <c r="I11" s="10">
        <f>SUMIFS(ConsultantChargesYr2[FTA_Consultant Cost],ConsultantChargesYr2[Funds Year],2021,ConsultantChargesYr2[Project],InvoiceYr2[[#This Row],[PIN]],ConsultantChargesYr2[Agency],InvoiceYr2[[#This Row],[Agency]])</f>
        <v>0</v>
      </c>
      <c r="J11" s="10"/>
      <c r="K11" s="10"/>
      <c r="L11" s="10">
        <f>SUMIFS(ConsultantChargesYr2[FHWA_Consultant Cost],ConsultantChargesYr2[Funds Year],2022,ConsultantChargesYr2[Project],InvoiceYr2[[#This Row],[PIN]],ConsultantChargesYr2[Agency],InvoiceYr2[[#This Row],[Agency]])</f>
        <v>0</v>
      </c>
      <c r="M11" s="10">
        <f>SUMIFS(ConsultantChargesYr2[FTA_Consultant Cost],ConsultantChargesYr2[Funds Year],2022,ConsultantChargesYr2[Project],InvoiceYr2[[#This Row],[PIN]],ConsultantChargesYr2[Agency],InvoiceYr2[[#This Row],[Agency]])</f>
        <v>0</v>
      </c>
      <c r="N11" s="23" cm="1">
        <f t="array" ref="N11">SplitYr2[[FHWA]:[FHWA]]*(SUM(InvoiceYr2[[#This Row],[Staff Cost]:[Support Costs]])-SUM(InvoiceYr2[[#This Row],[FHWA_Staff_Other_OLD]:[FTA_Staff_Other_Old]]))</f>
        <v>0</v>
      </c>
      <c r="O11" s="10" cm="1">
        <f t="array" ref="O11">SplitYr2[[FTA]:[FTA]]*(SUM(InvoiceYr2[[#This Row],[Staff Cost]:[Support Costs]])-SUM(InvoiceYr2[[#This Row],[FHWA_Staff_Other_OLD]:[FTA_Staff_Other_Old]]))</f>
        <v>0</v>
      </c>
    </row>
    <row r="12" spans="1:15" x14ac:dyDescent="0.25">
      <c r="A12" s="16" t="s">
        <v>124</v>
      </c>
      <c r="B12" t="s">
        <v>23</v>
      </c>
      <c r="C12" s="16" t="s">
        <v>32</v>
      </c>
      <c r="D12" s="10">
        <v>0</v>
      </c>
      <c r="E12" s="10">
        <v>0</v>
      </c>
      <c r="F12" s="10">
        <v>0</v>
      </c>
      <c r="G12" s="10">
        <f>SUMIFS(ConsultantChargesYr2[Total],ConsultantChargesYr2[Project],InvoiceYr2[[#This Row],[PIN]],ConsultantChargesYr2[Agency],InvoiceYr2[[#This Row],[Agency]])</f>
        <v>0</v>
      </c>
      <c r="H12" s="10">
        <f>SUMIFS(ConsultantChargesYr2[FHWA_Consultant Cost],ConsultantChargesYr2[Funds Year],2021,ConsultantChargesYr2[Project],InvoiceYr2[[#This Row],[PIN]],ConsultantChargesYr2[Agency],InvoiceYr2[[#This Row],[Agency]])</f>
        <v>0</v>
      </c>
      <c r="I12" s="10">
        <f>SUMIFS(ConsultantChargesYr2[FTA_Consultant Cost],ConsultantChargesYr2[Funds Year],2021,ConsultantChargesYr2[Project],InvoiceYr2[[#This Row],[PIN]],ConsultantChargesYr2[Agency],InvoiceYr2[[#This Row],[Agency]])</f>
        <v>0</v>
      </c>
      <c r="J12" s="10"/>
      <c r="K12" s="10"/>
      <c r="L12" s="10">
        <f>SUMIFS(ConsultantChargesYr2[FHWA_Consultant Cost],ConsultantChargesYr2[Funds Year],2022,ConsultantChargesYr2[Project],InvoiceYr2[[#This Row],[PIN]],ConsultantChargesYr2[Agency],InvoiceYr2[[#This Row],[Agency]])</f>
        <v>0</v>
      </c>
      <c r="M12" s="10">
        <f>SUMIFS(ConsultantChargesYr2[FTA_Consultant Cost],ConsultantChargesYr2[Funds Year],2022,ConsultantChargesYr2[Project],InvoiceYr2[[#This Row],[PIN]],ConsultantChargesYr2[Agency],InvoiceYr2[[#This Row],[Agency]])</f>
        <v>0</v>
      </c>
      <c r="N12" s="23" cm="1">
        <f t="array" ref="N12">SplitYr2[[FHWA]:[FHWA]]*(SUM(InvoiceYr2[[#This Row],[Staff Cost]:[Support Costs]])-SUM(InvoiceYr2[[#This Row],[FHWA_Staff_Other_OLD]:[FTA_Staff_Other_Old]]))</f>
        <v>0</v>
      </c>
      <c r="O12" s="10" cm="1">
        <f t="array" ref="O12">SplitYr2[[FTA]:[FTA]]*(SUM(InvoiceYr2[[#This Row],[Staff Cost]:[Support Costs]])-SUM(InvoiceYr2[[#This Row],[FHWA_Staff_Other_OLD]:[FTA_Staff_Other_Old]]))</f>
        <v>0</v>
      </c>
    </row>
    <row r="13" spans="1:15" x14ac:dyDescent="0.25">
      <c r="A13" s="16" t="s">
        <v>114</v>
      </c>
      <c r="B13" t="s">
        <v>23</v>
      </c>
      <c r="C13" s="16" t="s">
        <v>33</v>
      </c>
      <c r="D13" s="10">
        <v>122750.88</v>
      </c>
      <c r="E13" s="10">
        <v>0</v>
      </c>
      <c r="F13" s="10">
        <v>0</v>
      </c>
      <c r="G13" s="10">
        <f>SUMIFS(ConsultantChargesYr2[Total],ConsultantChargesYr2[Project],InvoiceYr2[[#This Row],[PIN]],ConsultantChargesYr2[Agency],InvoiceYr2[[#This Row],[Agency]])</f>
        <v>0</v>
      </c>
      <c r="H13" s="10">
        <f>SUMIFS(ConsultantChargesYr2[FHWA_Consultant Cost],ConsultantChargesYr2[Funds Year],2021,ConsultantChargesYr2[Project],InvoiceYr2[[#This Row],[PIN]],ConsultantChargesYr2[Agency],InvoiceYr2[[#This Row],[Agency]])</f>
        <v>0</v>
      </c>
      <c r="I13" s="10">
        <f>SUMIFS(ConsultantChargesYr2[FTA_Consultant Cost],ConsultantChargesYr2[Funds Year],2021,ConsultantChargesYr2[Project],InvoiceYr2[[#This Row],[PIN]],ConsultantChargesYr2[Agency],InvoiceYr2[[#This Row],[Agency]])</f>
        <v>0</v>
      </c>
      <c r="J13" s="10"/>
      <c r="K13" s="10"/>
      <c r="L13" s="10">
        <f>SUMIFS(ConsultantChargesYr2[FHWA_Consultant Cost],ConsultantChargesYr2[Funds Year],2022,ConsultantChargesYr2[Project],InvoiceYr2[[#This Row],[PIN]],ConsultantChargesYr2[Agency],InvoiceYr2[[#This Row],[Agency]])</f>
        <v>0</v>
      </c>
      <c r="M13" s="10">
        <f>SUMIFS(ConsultantChargesYr2[FTA_Consultant Cost],ConsultantChargesYr2[Funds Year],2022,ConsultantChargesYr2[Project],InvoiceYr2[[#This Row],[PIN]],ConsultantChargesYr2[Agency],InvoiceYr2[[#This Row],[Agency]])</f>
        <v>0</v>
      </c>
      <c r="N13" s="23" cm="1">
        <f t="array" ref="N13">SplitYr2[[FHWA]:[FHWA]]*(SUM(InvoiceYr2[[#This Row],[Staff Cost]:[Support Costs]])-SUM(InvoiceYr2[[#This Row],[FHWA_Staff_Other_OLD]:[FTA_Staff_Other_Old]]))</f>
        <v>103524.83855421688</v>
      </c>
      <c r="O13" s="10" cm="1">
        <f t="array" ref="O13">SplitYr2[[FTA]:[FTA]]*(SUM(InvoiceYr2[[#This Row],[Staff Cost]:[Support Costs]])-SUM(InvoiceYr2[[#This Row],[FHWA_Staff_Other_OLD]:[FTA_Staff_Other_Old]]))</f>
        <v>19226.041445783132</v>
      </c>
    </row>
    <row r="14" spans="1:15" x14ac:dyDescent="0.25">
      <c r="A14" s="16" t="s">
        <v>115</v>
      </c>
      <c r="B14" t="s">
        <v>23</v>
      </c>
      <c r="C14" s="16" t="s">
        <v>34</v>
      </c>
      <c r="D14" s="10">
        <v>0</v>
      </c>
      <c r="E14" s="10">
        <v>0</v>
      </c>
      <c r="F14" s="10">
        <v>0</v>
      </c>
      <c r="G14" s="10">
        <f>SUMIFS(ConsultantChargesYr2[Total],ConsultantChargesYr2[Project],InvoiceYr2[[#This Row],[PIN]],ConsultantChargesYr2[Agency],InvoiceYr2[[#This Row],[Agency]])</f>
        <v>0</v>
      </c>
      <c r="H14" s="10">
        <f>SUMIFS(ConsultantChargesYr2[FHWA_Consultant Cost],ConsultantChargesYr2[Funds Year],2021,ConsultantChargesYr2[Project],InvoiceYr2[[#This Row],[PIN]],ConsultantChargesYr2[Agency],InvoiceYr2[[#This Row],[Agency]])</f>
        <v>0</v>
      </c>
      <c r="I14" s="10">
        <f>SUMIFS(ConsultantChargesYr2[FTA_Consultant Cost],ConsultantChargesYr2[Funds Year],2021,ConsultantChargesYr2[Project],InvoiceYr2[[#This Row],[PIN]],ConsultantChargesYr2[Agency],InvoiceYr2[[#This Row],[Agency]])</f>
        <v>0</v>
      </c>
      <c r="J14" s="10"/>
      <c r="K14" s="10"/>
      <c r="L14" s="10">
        <f>SUMIFS(ConsultantChargesYr2[FHWA_Consultant Cost],ConsultantChargesYr2[Funds Year],2022,ConsultantChargesYr2[Project],InvoiceYr2[[#This Row],[PIN]],ConsultantChargesYr2[Agency],InvoiceYr2[[#This Row],[Agency]])</f>
        <v>0</v>
      </c>
      <c r="M14" s="10">
        <f>SUMIFS(ConsultantChargesYr2[FTA_Consultant Cost],ConsultantChargesYr2[Funds Year],2022,ConsultantChargesYr2[Project],InvoiceYr2[[#This Row],[PIN]],ConsultantChargesYr2[Agency],InvoiceYr2[[#This Row],[Agency]])</f>
        <v>0</v>
      </c>
      <c r="N14" s="23" cm="1">
        <f t="array" ref="N14">SplitYr2[[FHWA]:[FHWA]]*(SUM(InvoiceYr2[[#This Row],[Staff Cost]:[Support Costs]])-SUM(InvoiceYr2[[#This Row],[FHWA_Staff_Other_OLD]:[FTA_Staff_Other_Old]]))</f>
        <v>0</v>
      </c>
      <c r="O14" s="10" cm="1">
        <f t="array" ref="O14">SplitYr2[[FTA]:[FTA]]*(SUM(InvoiceYr2[[#This Row],[Staff Cost]:[Support Costs]])-SUM(InvoiceYr2[[#This Row],[FHWA_Staff_Other_OLD]:[FTA_Staff_Other_Old]]))</f>
        <v>0</v>
      </c>
    </row>
    <row r="15" spans="1:15" x14ac:dyDescent="0.25">
      <c r="A15" s="16" t="s">
        <v>116</v>
      </c>
      <c r="B15" t="s">
        <v>23</v>
      </c>
      <c r="C15" s="16" t="s">
        <v>35</v>
      </c>
      <c r="D15" s="10">
        <v>0</v>
      </c>
      <c r="E15" s="10">
        <v>20366</v>
      </c>
      <c r="F15" s="10">
        <v>26870</v>
      </c>
      <c r="G15" s="10">
        <f>SUMIFS(ConsultantChargesYr2[Total],ConsultantChargesYr2[Project],InvoiceYr2[[#This Row],[PIN]],ConsultantChargesYr2[Agency],InvoiceYr2[[#This Row],[Agency]])</f>
        <v>0</v>
      </c>
      <c r="H15" s="10">
        <f>SUMIFS(ConsultantChargesYr2[FHWA_Consultant Cost],ConsultantChargesYr2[Funds Year],2021,ConsultantChargesYr2[Project],InvoiceYr2[[#This Row],[PIN]],ConsultantChargesYr2[Agency],InvoiceYr2[[#This Row],[Agency]])</f>
        <v>0</v>
      </c>
      <c r="I15" s="10">
        <f>SUMIFS(ConsultantChargesYr2[FTA_Consultant Cost],ConsultantChargesYr2[Funds Year],2021,ConsultantChargesYr2[Project],InvoiceYr2[[#This Row],[PIN]],ConsultantChargesYr2[Agency],InvoiceYr2[[#This Row],[Agency]])</f>
        <v>0</v>
      </c>
      <c r="J15" s="10"/>
      <c r="K15" s="10"/>
      <c r="L15" s="10">
        <f>SUMIFS(ConsultantChargesYr2[FHWA_Consultant Cost],ConsultantChargesYr2[Funds Year],2022,ConsultantChargesYr2[Project],InvoiceYr2[[#This Row],[PIN]],ConsultantChargesYr2[Agency],InvoiceYr2[[#This Row],[Agency]])</f>
        <v>0</v>
      </c>
      <c r="M15" s="10">
        <f>SUMIFS(ConsultantChargesYr2[FTA_Consultant Cost],ConsultantChargesYr2[Funds Year],2022,ConsultantChargesYr2[Project],InvoiceYr2[[#This Row],[PIN]],ConsultantChargesYr2[Agency],InvoiceYr2[[#This Row],[Agency]])</f>
        <v>0</v>
      </c>
      <c r="N15" s="23" cm="1">
        <f t="array" ref="N15">SplitYr2[[FHWA]:[FHWA]]*(SUM(InvoiceYr2[[#This Row],[Staff Cost]:[Support Costs]])-SUM(InvoiceYr2[[#This Row],[FHWA_Staff_Other_OLD]:[FTA_Staff_Other_Old]]))</f>
        <v>39837.590361445786</v>
      </c>
      <c r="O15" s="10" cm="1">
        <f t="array" ref="O15">SplitYr2[[FTA]:[FTA]]*(SUM(InvoiceYr2[[#This Row],[Staff Cost]:[Support Costs]])-SUM(InvoiceYr2[[#This Row],[FHWA_Staff_Other_OLD]:[FTA_Staff_Other_Old]]))</f>
        <v>7398.4096385542171</v>
      </c>
    </row>
    <row r="16" spans="1:15" x14ac:dyDescent="0.25">
      <c r="A16" s="16" t="s">
        <v>44</v>
      </c>
      <c r="B16" t="s">
        <v>23</v>
      </c>
      <c r="C16" s="16" t="s">
        <v>36</v>
      </c>
      <c r="D16" s="10">
        <v>114946.94</v>
      </c>
      <c r="E16" s="10">
        <v>0</v>
      </c>
      <c r="F16" s="10">
        <v>0</v>
      </c>
      <c r="G16" s="10">
        <f>SUMIFS(ConsultantChargesYr2[Total],ConsultantChargesYr2[Project],InvoiceYr2[[#This Row],[PIN]],ConsultantChargesYr2[Agency],InvoiceYr2[[#This Row],[Agency]])</f>
        <v>0</v>
      </c>
      <c r="H16" s="10">
        <f>SUMIFS(ConsultantChargesYr2[FHWA_Consultant Cost],ConsultantChargesYr2[Funds Year],2021,ConsultantChargesYr2[Project],InvoiceYr2[[#This Row],[PIN]],ConsultantChargesYr2[Agency],InvoiceYr2[[#This Row],[Agency]])</f>
        <v>0</v>
      </c>
      <c r="I16" s="10">
        <f>SUMIFS(ConsultantChargesYr2[FTA_Consultant Cost],ConsultantChargesYr2[Funds Year],2021,ConsultantChargesYr2[Project],InvoiceYr2[[#This Row],[PIN]],ConsultantChargesYr2[Agency],InvoiceYr2[[#This Row],[Agency]])</f>
        <v>0</v>
      </c>
      <c r="J16" s="10"/>
      <c r="K16" s="10"/>
      <c r="L16" s="10">
        <f>SUMIFS(ConsultantChargesYr2[FHWA_Consultant Cost],ConsultantChargesYr2[Funds Year],2022,ConsultantChargesYr2[Project],InvoiceYr2[[#This Row],[PIN]],ConsultantChargesYr2[Agency],InvoiceYr2[[#This Row],[Agency]])</f>
        <v>0</v>
      </c>
      <c r="M16" s="10">
        <f>SUMIFS(ConsultantChargesYr2[FTA_Consultant Cost],ConsultantChargesYr2[Funds Year],2022,ConsultantChargesYr2[Project],InvoiceYr2[[#This Row],[PIN]],ConsultantChargesYr2[Agency],InvoiceYr2[[#This Row],[Agency]])</f>
        <v>0</v>
      </c>
      <c r="N16" s="23" cm="1">
        <f t="array" ref="N16">SplitYr2[[FHWA]:[FHWA]]*(SUM(InvoiceYr2[[#This Row],[Staff Cost]:[Support Costs]])-SUM(InvoiceYr2[[#This Row],[FHWA_Staff_Other_OLD]:[FTA_Staff_Other_Old]]))</f>
        <v>96943.202409638558</v>
      </c>
      <c r="O16" s="10" cm="1">
        <f t="array" ref="O16">SplitYr2[[FTA]:[FTA]]*(SUM(InvoiceYr2[[#This Row],[Staff Cost]:[Support Costs]])-SUM(InvoiceYr2[[#This Row],[FHWA_Staff_Other_OLD]:[FTA_Staff_Other_Old]]))</f>
        <v>18003.737590361448</v>
      </c>
    </row>
    <row r="17" spans="1:15" x14ac:dyDescent="0.25">
      <c r="A17" s="16" t="s">
        <v>45</v>
      </c>
      <c r="B17" t="s">
        <v>23</v>
      </c>
      <c r="C17" s="16" t="s">
        <v>37</v>
      </c>
      <c r="D17" s="10">
        <v>326426.76</v>
      </c>
      <c r="E17" s="10">
        <v>15783.04</v>
      </c>
      <c r="F17" s="10">
        <v>4821.72</v>
      </c>
      <c r="G17" s="10">
        <f>SUMIFS(ConsultantChargesYr2[Total],ConsultantChargesYr2[Project],InvoiceYr2[[#This Row],[PIN]],ConsultantChargesYr2[Agency],InvoiceYr2[[#This Row],[Agency]])</f>
        <v>145289.09999999998</v>
      </c>
      <c r="H17" s="10">
        <f>SUMIFS(ConsultantChargesYr2[FHWA_Consultant Cost],ConsultantChargesYr2[Funds Year],2021,ConsultantChargesYr2[Project],InvoiceYr2[[#This Row],[PIN]],ConsultantChargesYr2[Agency],InvoiceYr2[[#This Row],[Agency]])</f>
        <v>145289.09999999998</v>
      </c>
      <c r="I17" s="10">
        <f>SUMIFS(ConsultantChargesYr2[FTA_Consultant Cost],ConsultantChargesYr2[Funds Year],2021,ConsultantChargesYr2[Project],InvoiceYr2[[#This Row],[PIN]],ConsultantChargesYr2[Agency],InvoiceYr2[[#This Row],[Agency]])</f>
        <v>0</v>
      </c>
      <c r="J17" s="10">
        <v>93148.408900394032</v>
      </c>
      <c r="K17" s="10">
        <v>46571.097606637675</v>
      </c>
      <c r="L17" s="10">
        <f>SUMIFS(ConsultantChargesYr2[FHWA_Consultant Cost],ConsultantChargesYr2[Funds Year],2022,ConsultantChargesYr2[Project],InvoiceYr2[[#This Row],[PIN]],ConsultantChargesYr2[Agency],InvoiceYr2[[#This Row],[Agency]])</f>
        <v>0</v>
      </c>
      <c r="M17" s="10">
        <f>SUMIFS(ConsultantChargesYr2[FTA_Consultant Cost],ConsultantChargesYr2[Funds Year],2022,ConsultantChargesYr2[Project],InvoiceYr2[[#This Row],[PIN]],ConsultantChargesYr2[Agency],InvoiceYr2[[#This Row],[Agency]])</f>
        <v>0</v>
      </c>
      <c r="N17" s="23" cm="1">
        <f t="array" ref="N17">SplitYr2[[FHWA]:[FHWA]]*(SUM(InvoiceYr2[[#This Row],[Staff Cost]:[Support Costs]])-SUM(InvoiceYr2[[#This Row],[FHWA_Staff_Other_OLD]:[FTA_Staff_Other_Old]]))</f>
        <v>174841.45716274431</v>
      </c>
      <c r="O17" s="10" cm="1">
        <f t="array" ref="O17">SplitYr2[[FTA]:[FTA]]*(SUM(InvoiceYr2[[#This Row],[Staff Cost]:[Support Costs]])-SUM(InvoiceYr2[[#This Row],[FHWA_Staff_Other_OLD]:[FTA_Staff_Other_Old]]))</f>
        <v>32470.556330223942</v>
      </c>
    </row>
    <row r="18" spans="1:15" x14ac:dyDescent="0.25">
      <c r="A18" s="16" t="s">
        <v>128</v>
      </c>
      <c r="B18" t="s">
        <v>23</v>
      </c>
      <c r="C18" s="16" t="s">
        <v>125</v>
      </c>
      <c r="D18" s="10">
        <v>0</v>
      </c>
      <c r="E18" s="10">
        <v>0</v>
      </c>
      <c r="F18" s="10">
        <v>0</v>
      </c>
      <c r="G18" s="10">
        <f>SUMIFS(ConsultantChargesYr2[Total],ConsultantChargesYr2[Project],InvoiceYr2[[#This Row],[PIN]],ConsultantChargesYr2[Agency],InvoiceYr2[[#This Row],[Agency]])</f>
        <v>0</v>
      </c>
      <c r="H18" s="10">
        <f>SUMIFS(ConsultantChargesYr2[FHWA_Consultant Cost],ConsultantChargesYr2[Funds Year],2021,ConsultantChargesYr2[Project],InvoiceYr2[[#This Row],[PIN]],ConsultantChargesYr2[Agency],InvoiceYr2[[#This Row],[Agency]])</f>
        <v>0</v>
      </c>
      <c r="I18" s="10">
        <f>SUMIFS(ConsultantChargesYr2[FTA_Consultant Cost],ConsultantChargesYr2[Funds Year],2021,ConsultantChargesYr2[Project],InvoiceYr2[[#This Row],[PIN]],ConsultantChargesYr2[Agency],InvoiceYr2[[#This Row],[Agency]])</f>
        <v>0</v>
      </c>
      <c r="J18" s="10"/>
      <c r="K18" s="10"/>
      <c r="L18" s="10">
        <f>SUMIFS(ConsultantChargesYr2[FHWA_Consultant Cost],ConsultantChargesYr2[Funds Year],2022,ConsultantChargesYr2[Project],InvoiceYr2[[#This Row],[PIN]],ConsultantChargesYr2[Agency],InvoiceYr2[[#This Row],[Agency]])</f>
        <v>0</v>
      </c>
      <c r="M18" s="10">
        <f>SUMIFS(ConsultantChargesYr2[FTA_Consultant Cost],ConsultantChargesYr2[Funds Year],2022,ConsultantChargesYr2[Project],InvoiceYr2[[#This Row],[PIN]],ConsultantChargesYr2[Agency],InvoiceYr2[[#This Row],[Agency]])</f>
        <v>0</v>
      </c>
      <c r="N18" s="23" cm="1">
        <f t="array" ref="N18">SplitYr2[[FHWA]:[FHWA]]*(SUM(InvoiceYr2[[#This Row],[Staff Cost]:[Support Costs]])-SUM(InvoiceYr2[[#This Row],[FHWA_Staff_Other_OLD]:[FTA_Staff_Other_Old]]))</f>
        <v>0</v>
      </c>
      <c r="O18" s="10" cm="1">
        <f t="array" ref="O18">SplitYr2[[FTA]:[FTA]]*(SUM(InvoiceYr2[[#This Row],[Staff Cost]:[Support Costs]])-SUM(InvoiceYr2[[#This Row],[FHWA_Staff_Other_OLD]:[FTA_Staff_Other_Old]]))</f>
        <v>0</v>
      </c>
    </row>
    <row r="19" spans="1:15" x14ac:dyDescent="0.25">
      <c r="A19" s="16" t="s">
        <v>129</v>
      </c>
      <c r="B19" t="s">
        <v>23</v>
      </c>
      <c r="C19" s="16" t="s">
        <v>126</v>
      </c>
      <c r="D19" s="10">
        <v>0</v>
      </c>
      <c r="E19" s="10">
        <v>40457.919999999998</v>
      </c>
      <c r="F19" s="10">
        <v>40097.5</v>
      </c>
      <c r="G19" s="10">
        <f>SUMIFS(ConsultantChargesYr2[Total],ConsultantChargesYr2[Project],InvoiceYr2[[#This Row],[PIN]],ConsultantChargesYr2[Agency],InvoiceYr2[[#This Row],[Agency]])</f>
        <v>273000</v>
      </c>
      <c r="H19" s="10">
        <f>SUMIFS(ConsultantChargesYr2[FHWA_Consultant Cost],ConsultantChargesYr2[Funds Year],2021,ConsultantChargesYr2[Project],InvoiceYr2[[#This Row],[PIN]],ConsultantChargesYr2[Agency],InvoiceYr2[[#This Row],[Agency]])</f>
        <v>0</v>
      </c>
      <c r="I19" s="10">
        <f>SUMIFS(ConsultantChargesYr2[FTA_Consultant Cost],ConsultantChargesYr2[Funds Year],2021,ConsultantChargesYr2[Project],InvoiceYr2[[#This Row],[PIN]],ConsultantChargesYr2[Agency],InvoiceYr2[[#This Row],[Agency]])</f>
        <v>0</v>
      </c>
      <c r="J19" s="10"/>
      <c r="K19" s="10"/>
      <c r="L19" s="10">
        <f>SUMIFS(ConsultantChargesYr2[FHWA_Consultant Cost],ConsultantChargesYr2[Funds Year],2022,ConsultantChargesYr2[Project],InvoiceYr2[[#This Row],[PIN]],ConsultantChargesYr2[Agency],InvoiceYr2[[#This Row],[Agency]])</f>
        <v>0</v>
      </c>
      <c r="M19" s="10">
        <f>SUMIFS(ConsultantChargesYr2[FTA_Consultant Cost],ConsultantChargesYr2[Funds Year],2022,ConsultantChargesYr2[Project],InvoiceYr2[[#This Row],[PIN]],ConsultantChargesYr2[Agency],InvoiceYr2[[#This Row],[Agency]])</f>
        <v>273000</v>
      </c>
      <c r="N19" s="23" cm="1">
        <f t="array" ref="N19">SplitYr2[[FHWA]:[FHWA]]*(SUM(InvoiceYr2[[#This Row],[Staff Cost]:[Support Costs]])-SUM(InvoiceYr2[[#This Row],[FHWA_Staff_Other_OLD]:[FTA_Staff_Other_Old]]))</f>
        <v>67938.306024096382</v>
      </c>
      <c r="O19" s="10" cm="1">
        <f t="array" ref="O19">SplitYr2[[FTA]:[FTA]]*(SUM(InvoiceYr2[[#This Row],[Staff Cost]:[Support Costs]])-SUM(InvoiceYr2[[#This Row],[FHWA_Staff_Other_OLD]:[FTA_Staff_Other_Old]]))</f>
        <v>12617.113975903614</v>
      </c>
    </row>
    <row r="20" spans="1:15" x14ac:dyDescent="0.25">
      <c r="A20" s="16" t="s">
        <v>113</v>
      </c>
      <c r="B20" t="s">
        <v>24</v>
      </c>
      <c r="C20" s="16" t="s">
        <v>31</v>
      </c>
      <c r="D20" s="10">
        <v>0</v>
      </c>
      <c r="E20" s="10">
        <v>0</v>
      </c>
      <c r="F20" s="10">
        <v>0</v>
      </c>
      <c r="G20" s="10">
        <f>SUMIFS(ConsultantChargesYr2[Total],ConsultantChargesYr2[Project],InvoiceYr2[[#This Row],[PIN]],ConsultantChargesYr2[Agency],InvoiceYr2[[#This Row],[Agency]])</f>
        <v>0</v>
      </c>
      <c r="H20" s="10">
        <f>SUMIFS(ConsultantChargesYr2[FHWA_Consultant Cost],ConsultantChargesYr2[Funds Year],2021,ConsultantChargesYr2[Project],InvoiceYr2[[#This Row],[PIN]],ConsultantChargesYr2[Agency],InvoiceYr2[[#This Row],[Agency]])</f>
        <v>0</v>
      </c>
      <c r="I20" s="10">
        <f>SUMIFS(ConsultantChargesYr2[FTA_Consultant Cost],ConsultantChargesYr2[Funds Year],2021,ConsultantChargesYr2[Project],InvoiceYr2[[#This Row],[PIN]],ConsultantChargesYr2[Agency],InvoiceYr2[[#This Row],[Agency]])</f>
        <v>0</v>
      </c>
      <c r="J20" s="10"/>
      <c r="K20" s="10"/>
      <c r="L20" s="10">
        <f>SUMIFS(ConsultantChargesYr2[FHWA_Consultant Cost],ConsultantChargesYr2[Funds Year],2022,ConsultantChargesYr2[Project],InvoiceYr2[[#This Row],[PIN]],ConsultantChargesYr2[Agency],InvoiceYr2[[#This Row],[Agency]])</f>
        <v>0</v>
      </c>
      <c r="M20" s="10">
        <f>SUMIFS(ConsultantChargesYr2[FTA_Consultant Cost],ConsultantChargesYr2[Funds Year],2022,ConsultantChargesYr2[Project],InvoiceYr2[[#This Row],[PIN]],ConsultantChargesYr2[Agency],InvoiceYr2[[#This Row],[Agency]])</f>
        <v>0</v>
      </c>
      <c r="N20" s="23" cm="1">
        <f t="array" ref="N20">SplitYr2[[FHWA]:[FHWA]]*(SUM(InvoiceYr2[[#This Row],[Staff Cost]:[Support Costs]])-SUM(InvoiceYr2[[#This Row],[FHWA_Staff_Other_OLD]:[FTA_Staff_Other_Old]]))</f>
        <v>0</v>
      </c>
      <c r="O20" s="10" cm="1">
        <f t="array" ref="O20">SplitYr2[[FTA]:[FTA]]*(SUM(InvoiceYr2[[#This Row],[Staff Cost]:[Support Costs]])-SUM(InvoiceYr2[[#This Row],[FHWA_Staff_Other_OLD]:[FTA_Staff_Other_Old]]))</f>
        <v>0</v>
      </c>
    </row>
    <row r="21" spans="1:15" x14ac:dyDescent="0.25">
      <c r="A21" s="16" t="s">
        <v>124</v>
      </c>
      <c r="B21" t="s">
        <v>24</v>
      </c>
      <c r="C21" s="16" t="s">
        <v>32</v>
      </c>
      <c r="D21" s="10">
        <v>251790</v>
      </c>
      <c r="E21" s="10">
        <v>0</v>
      </c>
      <c r="F21" s="10">
        <v>16395.48</v>
      </c>
      <c r="G21" s="10">
        <f>SUMIFS(ConsultantChargesYr2[Total],ConsultantChargesYr2[Project],InvoiceYr2[[#This Row],[PIN]],ConsultantChargesYr2[Agency],InvoiceYr2[[#This Row],[Agency]])</f>
        <v>0</v>
      </c>
      <c r="H21" s="10">
        <f>SUMIFS(ConsultantChargesYr2[FHWA_Consultant Cost],ConsultantChargesYr2[Funds Year],2021,ConsultantChargesYr2[Project],InvoiceYr2[[#This Row],[PIN]],ConsultantChargesYr2[Agency],InvoiceYr2[[#This Row],[Agency]])</f>
        <v>0</v>
      </c>
      <c r="I21" s="10">
        <f>SUMIFS(ConsultantChargesYr2[FTA_Consultant Cost],ConsultantChargesYr2[Funds Year],2021,ConsultantChargesYr2[Project],InvoiceYr2[[#This Row],[PIN]],ConsultantChargesYr2[Agency],InvoiceYr2[[#This Row],[Agency]])</f>
        <v>0</v>
      </c>
      <c r="J21" s="10"/>
      <c r="K21" s="10"/>
      <c r="L21" s="10">
        <f>SUMIFS(ConsultantChargesYr2[FHWA_Consultant Cost],ConsultantChargesYr2[Funds Year],2022,ConsultantChargesYr2[Project],InvoiceYr2[[#This Row],[PIN]],ConsultantChargesYr2[Agency],InvoiceYr2[[#This Row],[Agency]])</f>
        <v>0</v>
      </c>
      <c r="M21" s="10">
        <f>SUMIFS(ConsultantChargesYr2[FTA_Consultant Cost],ConsultantChargesYr2[Funds Year],2022,ConsultantChargesYr2[Project],InvoiceYr2[[#This Row],[PIN]],ConsultantChargesYr2[Agency],InvoiceYr2[[#This Row],[Agency]])</f>
        <v>0</v>
      </c>
      <c r="N21" s="23" cm="1">
        <f t="array" ref="N21">SplitYr2[[FHWA]:[FHWA]]*(SUM(InvoiceYr2[[#This Row],[Staff Cost]:[Support Costs]])-SUM(InvoiceYr2[[#This Row],[FHWA_Staff_Other_OLD]:[FTA_Staff_Other_Old]]))</f>
        <v>226180.52530120482</v>
      </c>
      <c r="O21" s="10" cm="1">
        <f t="array" ref="O21">SplitYr2[[FTA]:[FTA]]*(SUM(InvoiceYr2[[#This Row],[Staff Cost]:[Support Costs]])-SUM(InvoiceYr2[[#This Row],[FHWA_Staff_Other_OLD]:[FTA_Staff_Other_Old]]))</f>
        <v>42004.954698795176</v>
      </c>
    </row>
    <row r="22" spans="1:15" x14ac:dyDescent="0.25">
      <c r="A22" s="16" t="s">
        <v>114</v>
      </c>
      <c r="B22" t="s">
        <v>24</v>
      </c>
      <c r="C22" s="16" t="s">
        <v>33</v>
      </c>
      <c r="D22" s="10">
        <v>0</v>
      </c>
      <c r="E22" s="10">
        <v>0</v>
      </c>
      <c r="F22" s="10">
        <v>0</v>
      </c>
      <c r="G22" s="10">
        <f>SUMIFS(ConsultantChargesYr2[Total],ConsultantChargesYr2[Project],InvoiceYr2[[#This Row],[PIN]],ConsultantChargesYr2[Agency],InvoiceYr2[[#This Row],[Agency]])</f>
        <v>0</v>
      </c>
      <c r="H22" s="10">
        <f>SUMIFS(ConsultantChargesYr2[FHWA_Consultant Cost],ConsultantChargesYr2[Funds Year],2021,ConsultantChargesYr2[Project],InvoiceYr2[[#This Row],[PIN]],ConsultantChargesYr2[Agency],InvoiceYr2[[#This Row],[Agency]])</f>
        <v>0</v>
      </c>
      <c r="I22" s="10">
        <f>SUMIFS(ConsultantChargesYr2[FTA_Consultant Cost],ConsultantChargesYr2[Funds Year],2021,ConsultantChargesYr2[Project],InvoiceYr2[[#This Row],[PIN]],ConsultantChargesYr2[Agency],InvoiceYr2[[#This Row],[Agency]])</f>
        <v>0</v>
      </c>
      <c r="J22" s="10"/>
      <c r="K22" s="10"/>
      <c r="L22" s="10">
        <f>SUMIFS(ConsultantChargesYr2[FHWA_Consultant Cost],ConsultantChargesYr2[Funds Year],2022,ConsultantChargesYr2[Project],InvoiceYr2[[#This Row],[PIN]],ConsultantChargesYr2[Agency],InvoiceYr2[[#This Row],[Agency]])</f>
        <v>0</v>
      </c>
      <c r="M22" s="10">
        <f>SUMIFS(ConsultantChargesYr2[FTA_Consultant Cost],ConsultantChargesYr2[Funds Year],2022,ConsultantChargesYr2[Project],InvoiceYr2[[#This Row],[PIN]],ConsultantChargesYr2[Agency],InvoiceYr2[[#This Row],[Agency]])</f>
        <v>0</v>
      </c>
      <c r="N22" s="23" cm="1">
        <f t="array" ref="N22">SplitYr2[[FHWA]:[FHWA]]*(SUM(InvoiceYr2[[#This Row],[Staff Cost]:[Support Costs]])-SUM(InvoiceYr2[[#This Row],[FHWA_Staff_Other_OLD]:[FTA_Staff_Other_Old]]))</f>
        <v>0</v>
      </c>
      <c r="O22" s="10" cm="1">
        <f t="array" ref="O22">SplitYr2[[FTA]:[FTA]]*(SUM(InvoiceYr2[[#This Row],[Staff Cost]:[Support Costs]])-SUM(InvoiceYr2[[#This Row],[FHWA_Staff_Other_OLD]:[FTA_Staff_Other_Old]]))</f>
        <v>0</v>
      </c>
    </row>
    <row r="23" spans="1:15" x14ac:dyDescent="0.25">
      <c r="A23" s="16" t="s">
        <v>115</v>
      </c>
      <c r="B23" t="s">
        <v>24</v>
      </c>
      <c r="C23" s="16" t="s">
        <v>34</v>
      </c>
      <c r="D23" s="10">
        <v>342016.44</v>
      </c>
      <c r="E23" s="10">
        <v>0</v>
      </c>
      <c r="F23" s="10">
        <v>0</v>
      </c>
      <c r="G23" s="10">
        <f>SUMIFS(ConsultantChargesYr2[Total],ConsultantChargesYr2[Project],InvoiceYr2[[#This Row],[PIN]],ConsultantChargesYr2[Agency],InvoiceYr2[[#This Row],[Agency]])</f>
        <v>0</v>
      </c>
      <c r="H23" s="10">
        <f>SUMIFS(ConsultantChargesYr2[FHWA_Consultant Cost],ConsultantChargesYr2[Funds Year],2021,ConsultantChargesYr2[Project],InvoiceYr2[[#This Row],[PIN]],ConsultantChargesYr2[Agency],InvoiceYr2[[#This Row],[Agency]])</f>
        <v>0</v>
      </c>
      <c r="I23" s="10">
        <f>SUMIFS(ConsultantChargesYr2[FTA_Consultant Cost],ConsultantChargesYr2[Funds Year],2021,ConsultantChargesYr2[Project],InvoiceYr2[[#This Row],[PIN]],ConsultantChargesYr2[Agency],InvoiceYr2[[#This Row],[Agency]])</f>
        <v>0</v>
      </c>
      <c r="J23" s="10"/>
      <c r="K23" s="10"/>
      <c r="L23" s="10">
        <f>SUMIFS(ConsultantChargesYr2[FHWA_Consultant Cost],ConsultantChargesYr2[Funds Year],2022,ConsultantChargesYr2[Project],InvoiceYr2[[#This Row],[PIN]],ConsultantChargesYr2[Agency],InvoiceYr2[[#This Row],[Agency]])</f>
        <v>0</v>
      </c>
      <c r="M23" s="10">
        <f>SUMIFS(ConsultantChargesYr2[FTA_Consultant Cost],ConsultantChargesYr2[Funds Year],2022,ConsultantChargesYr2[Project],InvoiceYr2[[#This Row],[PIN]],ConsultantChargesYr2[Agency],InvoiceYr2[[#This Row],[Agency]])</f>
        <v>0</v>
      </c>
      <c r="N23" s="23" cm="1">
        <f t="array" ref="N23">SplitYr2[[FHWA]:[FHWA]]*(SUM(InvoiceYr2[[#This Row],[Staff Cost]:[Support Costs]])-SUM(InvoiceYr2[[#This Row],[FHWA_Staff_Other_OLD]:[FTA_Staff_Other_Old]]))</f>
        <v>288447.60000000003</v>
      </c>
      <c r="O23" s="10" cm="1">
        <f t="array" ref="O23">SplitYr2[[FTA]:[FTA]]*(SUM(InvoiceYr2[[#This Row],[Staff Cost]:[Support Costs]])-SUM(InvoiceYr2[[#This Row],[FHWA_Staff_Other_OLD]:[FTA_Staff_Other_Old]]))</f>
        <v>53568.840000000004</v>
      </c>
    </row>
    <row r="24" spans="1:15" x14ac:dyDescent="0.25">
      <c r="A24" s="16" t="s">
        <v>116</v>
      </c>
      <c r="B24" t="s">
        <v>24</v>
      </c>
      <c r="C24" s="16" t="s">
        <v>35</v>
      </c>
      <c r="D24" s="10">
        <v>0</v>
      </c>
      <c r="E24" s="10">
        <v>30588.3</v>
      </c>
      <c r="F24" s="10">
        <v>0</v>
      </c>
      <c r="G24" s="10">
        <f>SUMIFS(ConsultantChargesYr2[Total],ConsultantChargesYr2[Project],InvoiceYr2[[#This Row],[PIN]],ConsultantChargesYr2[Agency],InvoiceYr2[[#This Row],[Agency]])</f>
        <v>0</v>
      </c>
      <c r="H24" s="10">
        <f>SUMIFS(ConsultantChargesYr2[FHWA_Consultant Cost],ConsultantChargesYr2[Funds Year],2021,ConsultantChargesYr2[Project],InvoiceYr2[[#This Row],[PIN]],ConsultantChargesYr2[Agency],InvoiceYr2[[#This Row],[Agency]])</f>
        <v>0</v>
      </c>
      <c r="I24" s="10">
        <f>SUMIFS(ConsultantChargesYr2[FTA_Consultant Cost],ConsultantChargesYr2[Funds Year],2021,ConsultantChargesYr2[Project],InvoiceYr2[[#This Row],[PIN]],ConsultantChargesYr2[Agency],InvoiceYr2[[#This Row],[Agency]])</f>
        <v>0</v>
      </c>
      <c r="J24" s="10"/>
      <c r="K24" s="10"/>
      <c r="L24" s="10">
        <f>SUMIFS(ConsultantChargesYr2[FHWA_Consultant Cost],ConsultantChargesYr2[Funds Year],2022,ConsultantChargesYr2[Project],InvoiceYr2[[#This Row],[PIN]],ConsultantChargesYr2[Agency],InvoiceYr2[[#This Row],[Agency]])</f>
        <v>0</v>
      </c>
      <c r="M24" s="10">
        <f>SUMIFS(ConsultantChargesYr2[FTA_Consultant Cost],ConsultantChargesYr2[Funds Year],2022,ConsultantChargesYr2[Project],InvoiceYr2[[#This Row],[PIN]],ConsultantChargesYr2[Agency],InvoiceYr2[[#This Row],[Agency]])</f>
        <v>0</v>
      </c>
      <c r="N24" s="23" cm="1">
        <f t="array" ref="N24">SplitYr2[[FHWA]:[FHWA]]*(SUM(InvoiceYr2[[#This Row],[Staff Cost]:[Support Costs]])-SUM(InvoiceYr2[[#This Row],[FHWA_Staff_Other_OLD]:[FTA_Staff_Other_Old]]))</f>
        <v>25797.361445783132</v>
      </c>
      <c r="O24" s="10" cm="1">
        <f t="array" ref="O24">SplitYr2[[FTA]:[FTA]]*(SUM(InvoiceYr2[[#This Row],[Staff Cost]:[Support Costs]])-SUM(InvoiceYr2[[#This Row],[FHWA_Staff_Other_OLD]:[FTA_Staff_Other_Old]]))</f>
        <v>4790.9385542168675</v>
      </c>
    </row>
    <row r="25" spans="1:15" x14ac:dyDescent="0.25">
      <c r="A25" s="16" t="s">
        <v>44</v>
      </c>
      <c r="B25" t="s">
        <v>24</v>
      </c>
      <c r="C25" s="16" t="s">
        <v>36</v>
      </c>
      <c r="D25" s="10">
        <v>0</v>
      </c>
      <c r="E25" s="10">
        <v>0</v>
      </c>
      <c r="F25" s="10">
        <v>0</v>
      </c>
      <c r="G25" s="10">
        <f>SUMIFS(ConsultantChargesYr2[Total],ConsultantChargesYr2[Project],InvoiceYr2[[#This Row],[PIN]],ConsultantChargesYr2[Agency],InvoiceYr2[[#This Row],[Agency]])</f>
        <v>84229</v>
      </c>
      <c r="H25" s="10">
        <f>SUMIFS(ConsultantChargesYr2[FHWA_Consultant Cost],ConsultantChargesYr2[Funds Year],2021,ConsultantChargesYr2[Project],InvoiceYr2[[#This Row],[PIN]],ConsultantChargesYr2[Agency],InvoiceYr2[[#This Row],[Agency]])</f>
        <v>84229</v>
      </c>
      <c r="I25" s="10">
        <f>SUMIFS(ConsultantChargesYr2[FTA_Consultant Cost],ConsultantChargesYr2[Funds Year],2021,ConsultantChargesYr2[Project],InvoiceYr2[[#This Row],[PIN]],ConsultantChargesYr2[Agency],InvoiceYr2[[#This Row],[Agency]])</f>
        <v>0</v>
      </c>
      <c r="J25" s="10"/>
      <c r="K25" s="10"/>
      <c r="L25" s="10">
        <f>SUMIFS(ConsultantChargesYr2[FHWA_Consultant Cost],ConsultantChargesYr2[Funds Year],2022,ConsultantChargesYr2[Project],InvoiceYr2[[#This Row],[PIN]],ConsultantChargesYr2[Agency],InvoiceYr2[[#This Row],[Agency]])</f>
        <v>0</v>
      </c>
      <c r="M25" s="10">
        <f>SUMIFS(ConsultantChargesYr2[FTA_Consultant Cost],ConsultantChargesYr2[Funds Year],2022,ConsultantChargesYr2[Project],InvoiceYr2[[#This Row],[PIN]],ConsultantChargesYr2[Agency],InvoiceYr2[[#This Row],[Agency]])</f>
        <v>0</v>
      </c>
      <c r="N25" s="23" cm="1">
        <f t="array" ref="N25">SplitYr2[[FHWA]:[FHWA]]*(SUM(InvoiceYr2[[#This Row],[Staff Cost]:[Support Costs]])-SUM(InvoiceYr2[[#This Row],[FHWA_Staff_Other_OLD]:[FTA_Staff_Other_Old]]))</f>
        <v>0</v>
      </c>
      <c r="O25" s="10" cm="1">
        <f t="array" ref="O25">SplitYr2[[FTA]:[FTA]]*(SUM(InvoiceYr2[[#This Row],[Staff Cost]:[Support Costs]])-SUM(InvoiceYr2[[#This Row],[FHWA_Staff_Other_OLD]:[FTA_Staff_Other_Old]]))</f>
        <v>0</v>
      </c>
    </row>
    <row r="26" spans="1:15" x14ac:dyDescent="0.25">
      <c r="A26" s="16" t="s">
        <v>45</v>
      </c>
      <c r="B26" t="s">
        <v>24</v>
      </c>
      <c r="C26" s="16" t="s">
        <v>37</v>
      </c>
      <c r="D26" s="10">
        <v>217570.54</v>
      </c>
      <c r="E26" s="10">
        <v>10683.09</v>
      </c>
      <c r="F26" s="10">
        <v>49387.14</v>
      </c>
      <c r="G26" s="10">
        <f>SUMIFS(ConsultantChargesYr2[Total],ConsultantChargesYr2[Project],InvoiceYr2[[#This Row],[PIN]],ConsultantChargesYr2[Agency],InvoiceYr2[[#This Row],[Agency]])</f>
        <v>0</v>
      </c>
      <c r="H26" s="10">
        <f>SUMIFS(ConsultantChargesYr2[FHWA_Consultant Cost],ConsultantChargesYr2[Funds Year],2021,ConsultantChargesYr2[Project],InvoiceYr2[[#This Row],[PIN]],ConsultantChargesYr2[Agency],InvoiceYr2[[#This Row],[Agency]])</f>
        <v>0</v>
      </c>
      <c r="I26" s="10">
        <f>SUMIFS(ConsultantChargesYr2[FTA_Consultant Cost],ConsultantChargesYr2[Funds Year],2021,ConsultantChargesYr2[Project],InvoiceYr2[[#This Row],[PIN]],ConsultantChargesYr2[Agency],InvoiceYr2[[#This Row],[Agency]])</f>
        <v>0</v>
      </c>
      <c r="J26" s="10">
        <v>93670.366456647142</v>
      </c>
      <c r="K26" s="10">
        <v>46832.058975551437</v>
      </c>
      <c r="L26" s="10">
        <f>SUMIFS(ConsultantChargesYr2[FHWA_Consultant Cost],ConsultantChargesYr2[Funds Year],2022,ConsultantChargesYr2[Project],InvoiceYr2[[#This Row],[PIN]],ConsultantChargesYr2[Agency],InvoiceYr2[[#This Row],[Agency]])</f>
        <v>0</v>
      </c>
      <c r="M26" s="10">
        <f>SUMIFS(ConsultantChargesYr2[FTA_Consultant Cost],ConsultantChargesYr2[Funds Year],2022,ConsultantChargesYr2[Project],InvoiceYr2[[#This Row],[PIN]],ConsultantChargesYr2[Agency],InvoiceYr2[[#This Row],[Agency]])</f>
        <v>0</v>
      </c>
      <c r="N26" s="23" cm="1">
        <f t="array" ref="N26">SplitYr2[[FHWA]:[FHWA]]*(SUM(InvoiceYr2[[#This Row],[Staff Cost]:[Support Costs]])-SUM(InvoiceYr2[[#This Row],[FHWA_Staff_Other_OLD]:[FTA_Staff_Other_Old]]))</f>
        <v>115658.8448162181</v>
      </c>
      <c r="O26" s="10" cm="1">
        <f t="array" ref="O26">SplitYr2[[FTA]:[FTA]]*(SUM(InvoiceYr2[[#This Row],[Staff Cost]:[Support Costs]])-SUM(InvoiceYr2[[#This Row],[FHWA_Staff_Other_OLD]:[FTA_Staff_Other_Old]]))</f>
        <v>21479.49975158336</v>
      </c>
    </row>
    <row r="27" spans="1:15" x14ac:dyDescent="0.25">
      <c r="A27" s="16" t="s">
        <v>128</v>
      </c>
      <c r="B27" t="s">
        <v>24</v>
      </c>
      <c r="C27" s="16" t="s">
        <v>125</v>
      </c>
      <c r="D27" s="10">
        <v>0</v>
      </c>
      <c r="E27" s="10">
        <v>0</v>
      </c>
      <c r="F27" s="10">
        <v>0</v>
      </c>
      <c r="G27" s="10">
        <f>SUMIFS(ConsultantChargesYr2[Total],ConsultantChargesYr2[Project],InvoiceYr2[[#This Row],[PIN]],ConsultantChargesYr2[Agency],InvoiceYr2[[#This Row],[Agency]])</f>
        <v>0</v>
      </c>
      <c r="H27" s="10">
        <f>SUMIFS(ConsultantChargesYr2[FHWA_Consultant Cost],ConsultantChargesYr2[Funds Year],2021,ConsultantChargesYr2[Project],InvoiceYr2[[#This Row],[PIN]],ConsultantChargesYr2[Agency],InvoiceYr2[[#This Row],[Agency]])</f>
        <v>0</v>
      </c>
      <c r="I27" s="10">
        <f>SUMIFS(ConsultantChargesYr2[FTA_Consultant Cost],ConsultantChargesYr2[Funds Year],2021,ConsultantChargesYr2[Project],InvoiceYr2[[#This Row],[PIN]],ConsultantChargesYr2[Agency],InvoiceYr2[[#This Row],[Agency]])</f>
        <v>0</v>
      </c>
      <c r="J27" s="10"/>
      <c r="K27" s="10"/>
      <c r="L27" s="10">
        <f>SUMIFS(ConsultantChargesYr2[FHWA_Consultant Cost],ConsultantChargesYr2[Funds Year],2022,ConsultantChargesYr2[Project],InvoiceYr2[[#This Row],[PIN]],ConsultantChargesYr2[Agency],InvoiceYr2[[#This Row],[Agency]])</f>
        <v>0</v>
      </c>
      <c r="M27" s="10">
        <f>SUMIFS(ConsultantChargesYr2[FTA_Consultant Cost],ConsultantChargesYr2[Funds Year],2022,ConsultantChargesYr2[Project],InvoiceYr2[[#This Row],[PIN]],ConsultantChargesYr2[Agency],InvoiceYr2[[#This Row],[Agency]])</f>
        <v>0</v>
      </c>
      <c r="N27" s="23" cm="1">
        <f t="array" ref="N27">SplitYr2[[FHWA]:[FHWA]]*(SUM(InvoiceYr2[[#This Row],[Staff Cost]:[Support Costs]])-SUM(InvoiceYr2[[#This Row],[FHWA_Staff_Other_OLD]:[FTA_Staff_Other_Old]]))</f>
        <v>0</v>
      </c>
      <c r="O27" s="10" cm="1">
        <f t="array" ref="O27">SplitYr2[[FTA]:[FTA]]*(SUM(InvoiceYr2[[#This Row],[Staff Cost]:[Support Costs]])-SUM(InvoiceYr2[[#This Row],[FHWA_Staff_Other_OLD]:[FTA_Staff_Other_Old]]))</f>
        <v>0</v>
      </c>
    </row>
    <row r="28" spans="1:15" x14ac:dyDescent="0.25">
      <c r="A28" s="16" t="s">
        <v>129</v>
      </c>
      <c r="B28" t="s">
        <v>24</v>
      </c>
      <c r="C28" s="16" t="s">
        <v>126</v>
      </c>
      <c r="D28" s="10">
        <v>0</v>
      </c>
      <c r="E28" s="10">
        <v>43002.7</v>
      </c>
      <c r="F28" s="10">
        <v>30171.68</v>
      </c>
      <c r="G28" s="10">
        <f>SUMIFS(ConsultantChargesYr2[Total],ConsultantChargesYr2[Project],InvoiceYr2[[#This Row],[PIN]],ConsultantChargesYr2[Agency],InvoiceYr2[[#This Row],[Agency]])</f>
        <v>0</v>
      </c>
      <c r="H28" s="10">
        <f>SUMIFS(ConsultantChargesYr2[FHWA_Consultant Cost],ConsultantChargesYr2[Funds Year],2021,ConsultantChargesYr2[Project],InvoiceYr2[[#This Row],[PIN]],ConsultantChargesYr2[Agency],InvoiceYr2[[#This Row],[Agency]])</f>
        <v>0</v>
      </c>
      <c r="I28" s="10">
        <f>SUMIFS(ConsultantChargesYr2[FTA_Consultant Cost],ConsultantChargesYr2[Funds Year],2021,ConsultantChargesYr2[Project],InvoiceYr2[[#This Row],[PIN]],ConsultantChargesYr2[Agency],InvoiceYr2[[#This Row],[Agency]])</f>
        <v>0</v>
      </c>
      <c r="J28" s="10"/>
      <c r="K28" s="10"/>
      <c r="L28" s="10">
        <f>SUMIFS(ConsultantChargesYr2[FHWA_Consultant Cost],ConsultantChargesYr2[Funds Year],2022,ConsultantChargesYr2[Project],InvoiceYr2[[#This Row],[PIN]],ConsultantChargesYr2[Agency],InvoiceYr2[[#This Row],[Agency]])</f>
        <v>0</v>
      </c>
      <c r="M28" s="10">
        <f>SUMIFS(ConsultantChargesYr2[FTA_Consultant Cost],ConsultantChargesYr2[Funds Year],2022,ConsultantChargesYr2[Project],InvoiceYr2[[#This Row],[PIN]],ConsultantChargesYr2[Agency],InvoiceYr2[[#This Row],[Agency]])</f>
        <v>0</v>
      </c>
      <c r="N28" s="23" cm="1">
        <f t="array" ref="N28">SplitYr2[[FHWA]:[FHWA]]*(SUM(InvoiceYr2[[#This Row],[Staff Cost]:[Support Costs]])-SUM(InvoiceYr2[[#This Row],[FHWA_Staff_Other_OLD]:[FTA_Staff_Other_Old]]))</f>
        <v>61713.33253012049</v>
      </c>
      <c r="O28" s="10" cm="1">
        <f t="array" ref="O28">SplitYr2[[FTA]:[FTA]]*(SUM(InvoiceYr2[[#This Row],[Staff Cost]:[Support Costs]])-SUM(InvoiceYr2[[#This Row],[FHWA_Staff_Other_OLD]:[FTA_Staff_Other_Old]]))</f>
        <v>11461.047469879519</v>
      </c>
    </row>
    <row r="29" spans="1:15" x14ac:dyDescent="0.25">
      <c r="D29" s="24">
        <f>SUM(InvoiceYr2[Staff Cost])</f>
        <v>2944001.0000000005</v>
      </c>
      <c r="E29" s="24">
        <f>SUM(InvoiceYr2[Direct Expenses])</f>
        <v>465482.99</v>
      </c>
      <c r="F29" s="24">
        <f>SUM(InvoiceYr2[Support Costs])</f>
        <v>430943.23</v>
      </c>
      <c r="G29" s="24">
        <f>SUM(InvoiceYr2[Consultant Cost])</f>
        <v>1207376.5499999998</v>
      </c>
      <c r="H29" s="24">
        <f>SUM(InvoiceYr2[FHWA Consultant Cost_OLD])</f>
        <v>301947.32499999995</v>
      </c>
      <c r="I29" s="24">
        <f>SUM(InvoiceYr2[FTA Consultant Costs _OLD])</f>
        <v>72429.225000000006</v>
      </c>
      <c r="J29" s="24">
        <f>SUM(InvoiceYr2[FHWA_Staff_Other_OLD])</f>
        <v>186818.77535704116</v>
      </c>
      <c r="K29" s="24">
        <f>SUM(InvoiceYr2[FTA_Staff_Other_Old])</f>
        <v>93403.156582189113</v>
      </c>
      <c r="L29" s="24">
        <f>SUM(InvoiceYr2[FHWA Consultant Cost New])</f>
        <v>560000</v>
      </c>
      <c r="M29" s="24">
        <f>SUM(InvoiceYr2[FTA Consultant Costs New])</f>
        <v>273000</v>
      </c>
      <c r="N29" s="24">
        <f>SUM(InvoiceYr2[FHWA_Staff_Other New])</f>
        <v>3002582.7730633002</v>
      </c>
      <c r="O29" s="24">
        <f>SUM(InvoiceYr2[FTA_Staff_Other New])</f>
        <v>557622.51499746984</v>
      </c>
    </row>
    <row r="30" spans="1:15" x14ac:dyDescent="0.25">
      <c r="D30" s="9"/>
      <c r="E30" s="9"/>
      <c r="F30" s="9"/>
      <c r="G30" s="9"/>
    </row>
    <row r="31" spans="1:15" x14ac:dyDescent="0.25">
      <c r="D31" s="9"/>
      <c r="E31" s="9"/>
      <c r="F31" s="9"/>
    </row>
    <row r="32" spans="1:15" x14ac:dyDescent="0.25">
      <c r="D32" s="9"/>
      <c r="E32" s="9"/>
      <c r="F32" s="9"/>
    </row>
    <row r="33" spans="4:6" x14ac:dyDescent="0.25">
      <c r="D33" s="9"/>
      <c r="E33" s="9"/>
      <c r="F33" s="9"/>
    </row>
    <row r="34" spans="4:6" x14ac:dyDescent="0.25">
      <c r="D34" s="9"/>
      <c r="E34" s="9"/>
      <c r="F34" s="9"/>
    </row>
    <row r="35" spans="4:6" x14ac:dyDescent="0.25">
      <c r="D35" s="9"/>
      <c r="E35" s="9"/>
      <c r="F35" s="9"/>
    </row>
    <row r="36" spans="4:6" x14ac:dyDescent="0.25">
      <c r="D36" s="9"/>
      <c r="E36" s="9"/>
      <c r="F36" s="9"/>
    </row>
    <row r="37" spans="4:6" x14ac:dyDescent="0.25">
      <c r="D37" s="9"/>
      <c r="E37" s="9"/>
      <c r="F37" s="9"/>
    </row>
    <row r="38" spans="4:6" x14ac:dyDescent="0.25">
      <c r="D38" s="9"/>
      <c r="E38" s="9"/>
      <c r="F38" s="9"/>
    </row>
    <row r="39" spans="4:6" x14ac:dyDescent="0.25">
      <c r="D39" s="9"/>
      <c r="E39" s="9"/>
      <c r="F39" s="9"/>
    </row>
    <row r="40" spans="4:6" x14ac:dyDescent="0.25">
      <c r="D40" s="9"/>
      <c r="E40" s="9"/>
      <c r="F40" s="9"/>
    </row>
    <row r="41" spans="4:6" x14ac:dyDescent="0.25">
      <c r="D41" s="9"/>
      <c r="E41" s="9"/>
      <c r="F41" s="9"/>
    </row>
    <row r="42" spans="4:6" x14ac:dyDescent="0.25">
      <c r="D42" s="9"/>
      <c r="E42" s="9"/>
      <c r="F42" s="9"/>
    </row>
    <row r="43" spans="4:6" x14ac:dyDescent="0.25">
      <c r="D43" s="9"/>
      <c r="E43" s="9"/>
      <c r="F43" s="9"/>
    </row>
    <row r="44" spans="4:6" x14ac:dyDescent="0.25">
      <c r="D44" s="9"/>
      <c r="E44" s="9"/>
      <c r="F44" s="9"/>
    </row>
    <row r="45" spans="4:6" x14ac:dyDescent="0.25">
      <c r="D45" s="9"/>
      <c r="E45" s="9"/>
      <c r="F45" s="9"/>
    </row>
    <row r="46" spans="4:6" x14ac:dyDescent="0.25">
      <c r="D46" s="9"/>
      <c r="E46" s="9"/>
      <c r="F46" s="9"/>
    </row>
    <row r="47" spans="4:6" x14ac:dyDescent="0.25">
      <c r="D47" s="9"/>
      <c r="E47" s="9"/>
      <c r="F47" s="9"/>
    </row>
    <row r="48" spans="4:6" x14ac:dyDescent="0.25">
      <c r="D48" s="9"/>
      <c r="E48" s="9"/>
      <c r="F48" s="9"/>
    </row>
    <row r="49" spans="4:6" x14ac:dyDescent="0.25">
      <c r="D49" s="9"/>
      <c r="E49" s="9"/>
      <c r="F49" s="9"/>
    </row>
    <row r="50" spans="4:6" x14ac:dyDescent="0.25">
      <c r="D50" s="9"/>
      <c r="E50" s="9"/>
      <c r="F50" s="9"/>
    </row>
    <row r="51" spans="4:6" x14ac:dyDescent="0.25">
      <c r="D51" s="9"/>
      <c r="E51" s="9"/>
      <c r="F51" s="9"/>
    </row>
    <row r="52" spans="4:6" x14ac:dyDescent="0.25">
      <c r="D52" s="9"/>
      <c r="E52" s="9"/>
      <c r="F52" s="9"/>
    </row>
    <row r="53" spans="4:6" x14ac:dyDescent="0.25">
      <c r="D53" s="9"/>
      <c r="E53" s="9"/>
      <c r="F53" s="9"/>
    </row>
    <row r="54" spans="4:6" x14ac:dyDescent="0.25">
      <c r="D54" s="9"/>
      <c r="E54" s="9"/>
      <c r="F54" s="9"/>
    </row>
    <row r="55" spans="4:6" x14ac:dyDescent="0.25">
      <c r="D55" s="9"/>
      <c r="E55" s="9"/>
      <c r="F55" s="9"/>
    </row>
    <row r="56" spans="4:6" x14ac:dyDescent="0.25">
      <c r="D56" s="9"/>
      <c r="E56" s="9"/>
      <c r="F56" s="9"/>
    </row>
    <row r="57" spans="4:6" x14ac:dyDescent="0.25">
      <c r="D57" s="9"/>
      <c r="E57" s="9"/>
      <c r="F57" s="9"/>
    </row>
    <row r="58" spans="4:6" x14ac:dyDescent="0.25">
      <c r="D58" s="9"/>
      <c r="E58" s="9"/>
      <c r="F58" s="9"/>
    </row>
    <row r="59" spans="4:6" x14ac:dyDescent="0.25">
      <c r="D59" s="9"/>
      <c r="E59" s="9"/>
      <c r="F59" s="9"/>
    </row>
    <row r="60" spans="4:6" x14ac:dyDescent="0.25">
      <c r="D60" s="9"/>
      <c r="E60" s="9"/>
      <c r="F60" s="9"/>
    </row>
    <row r="61" spans="4:6" x14ac:dyDescent="0.25">
      <c r="D61" s="9"/>
      <c r="E61" s="9"/>
      <c r="F61" s="9"/>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7DFC4-A227-42E3-BFFF-1E262CE40DE3}">
  <dimension ref="A1:E10"/>
  <sheetViews>
    <sheetView zoomScaleNormal="100" workbookViewId="0">
      <selection activeCell="C8" sqref="C8"/>
    </sheetView>
  </sheetViews>
  <sheetFormatPr defaultRowHeight="15" x14ac:dyDescent="0.25"/>
  <cols>
    <col min="1" max="1" width="16.7109375" customWidth="1"/>
    <col min="2" max="2" width="13.42578125" customWidth="1"/>
    <col min="3" max="3" width="32.5703125" style="5" customWidth="1"/>
    <col min="4" max="4" width="16.7109375" customWidth="1"/>
  </cols>
  <sheetData>
    <row r="1" spans="1:5" x14ac:dyDescent="0.25">
      <c r="A1" t="s">
        <v>38</v>
      </c>
      <c r="B1" t="s">
        <v>25</v>
      </c>
      <c r="C1" s="5" t="s">
        <v>145</v>
      </c>
      <c r="D1" t="s">
        <v>148</v>
      </c>
    </row>
    <row r="2" spans="1:5" ht="165" x14ac:dyDescent="0.25">
      <c r="A2" s="16" t="s">
        <v>113</v>
      </c>
      <c r="B2" s="16" t="s">
        <v>31</v>
      </c>
      <c r="C2" s="5" t="s">
        <v>151</v>
      </c>
      <c r="D2" s="5" t="s">
        <v>149</v>
      </c>
      <c r="E2" s="5"/>
    </row>
    <row r="3" spans="1:5" ht="180" x14ac:dyDescent="0.25">
      <c r="A3" s="16" t="s">
        <v>124</v>
      </c>
      <c r="B3" s="16" t="s">
        <v>32</v>
      </c>
      <c r="C3" s="5" t="s">
        <v>152</v>
      </c>
      <c r="D3" s="5" t="s">
        <v>149</v>
      </c>
      <c r="E3" s="5"/>
    </row>
    <row r="4" spans="1:5" ht="210" x14ac:dyDescent="0.25">
      <c r="A4" s="16" t="s">
        <v>114</v>
      </c>
      <c r="B4" s="16" t="s">
        <v>33</v>
      </c>
      <c r="C4" s="5" t="s">
        <v>153</v>
      </c>
      <c r="D4" s="5" t="s">
        <v>149</v>
      </c>
      <c r="E4" s="5"/>
    </row>
    <row r="5" spans="1:5" ht="180" x14ac:dyDescent="0.25">
      <c r="A5" s="16" t="s">
        <v>115</v>
      </c>
      <c r="B5" s="16" t="s">
        <v>34</v>
      </c>
      <c r="C5" s="5" t="s">
        <v>154</v>
      </c>
      <c r="D5" s="5" t="s">
        <v>149</v>
      </c>
      <c r="E5" s="5"/>
    </row>
    <row r="6" spans="1:5" ht="180" x14ac:dyDescent="0.25">
      <c r="A6" s="16" t="s">
        <v>116</v>
      </c>
      <c r="B6" s="16" t="s">
        <v>35</v>
      </c>
      <c r="C6" s="5" t="s">
        <v>154</v>
      </c>
      <c r="D6" s="5" t="s">
        <v>149</v>
      </c>
      <c r="E6" s="5"/>
    </row>
    <row r="7" spans="1:5" ht="120" x14ac:dyDescent="0.25">
      <c r="A7" s="16" t="s">
        <v>44</v>
      </c>
      <c r="B7" s="16" t="s">
        <v>36</v>
      </c>
      <c r="C7" s="5" t="s">
        <v>155</v>
      </c>
      <c r="D7" s="5" t="s">
        <v>149</v>
      </c>
      <c r="E7" s="5"/>
    </row>
    <row r="8" spans="1:5" ht="135" x14ac:dyDescent="0.25">
      <c r="A8" s="16" t="s">
        <v>45</v>
      </c>
      <c r="B8" s="16" t="s">
        <v>37</v>
      </c>
      <c r="C8" s="5" t="s">
        <v>156</v>
      </c>
      <c r="D8" s="5" t="s">
        <v>149</v>
      </c>
      <c r="E8" s="5"/>
    </row>
    <row r="9" spans="1:5" ht="105" x14ac:dyDescent="0.25">
      <c r="A9" s="16" t="s">
        <v>128</v>
      </c>
      <c r="B9" s="16" t="s">
        <v>125</v>
      </c>
      <c r="C9" s="5" t="s">
        <v>157</v>
      </c>
      <c r="D9" s="5" t="s">
        <v>150</v>
      </c>
      <c r="E9" s="5"/>
    </row>
    <row r="10" spans="1:5" x14ac:dyDescent="0.25">
      <c r="A10" s="16" t="s">
        <v>129</v>
      </c>
      <c r="B10" s="16" t="s">
        <v>126</v>
      </c>
      <c r="C10" s="17"/>
      <c r="D10" s="17" t="s">
        <v>150</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8B574-A2AE-4A33-859B-3D3117C67DBD}">
  <dimension ref="A1:O29"/>
  <sheetViews>
    <sheetView tabSelected="1" topLeftCell="A10" workbookViewId="0">
      <selection activeCell="F17" sqref="F17"/>
    </sheetView>
  </sheetViews>
  <sheetFormatPr defaultRowHeight="15" x14ac:dyDescent="0.25"/>
  <cols>
    <col min="1" max="1" width="7.28515625" bestFit="1" customWidth="1"/>
    <col min="2" max="2" width="17" bestFit="1" customWidth="1"/>
    <col min="3" max="3" width="35.28515625" bestFit="1" customWidth="1"/>
    <col min="4" max="4" width="11.7109375" bestFit="1" customWidth="1"/>
    <col min="5" max="5" width="17.42578125" bestFit="1" customWidth="1"/>
    <col min="6" max="6" width="15.5703125" bestFit="1" customWidth="1"/>
    <col min="7" max="7" width="17.28515625" bestFit="1" customWidth="1"/>
    <col min="8" max="8" width="28.28515625" bestFit="1" customWidth="1"/>
    <col min="9" max="9" width="27.140625" bestFit="1" customWidth="1"/>
    <col min="10" max="10" width="25.140625" bestFit="1" customWidth="1"/>
    <col min="11" max="11" width="22.28515625" bestFit="1" customWidth="1"/>
    <col min="12" max="12" width="28.28515625" bestFit="1" customWidth="1"/>
    <col min="13" max="13" width="26.7109375" bestFit="1" customWidth="1"/>
    <col min="14" max="14" width="25.140625" bestFit="1" customWidth="1"/>
    <col min="15" max="15" width="22.7109375" bestFit="1" customWidth="1"/>
  </cols>
  <sheetData>
    <row r="1" spans="1:15" x14ac:dyDescent="0.25">
      <c r="A1" t="s">
        <v>38</v>
      </c>
      <c r="B1" t="s">
        <v>21</v>
      </c>
      <c r="C1" t="s">
        <v>25</v>
      </c>
      <c r="D1" t="s">
        <v>77</v>
      </c>
      <c r="E1" t="s">
        <v>78</v>
      </c>
      <c r="F1" t="s">
        <v>79</v>
      </c>
      <c r="G1" t="s">
        <v>80</v>
      </c>
      <c r="H1" t="s">
        <v>131</v>
      </c>
      <c r="I1" t="s">
        <v>132</v>
      </c>
      <c r="J1" t="s">
        <v>133</v>
      </c>
      <c r="K1" t="s">
        <v>134</v>
      </c>
      <c r="L1" t="s">
        <v>135</v>
      </c>
      <c r="M1" t="s">
        <v>136</v>
      </c>
      <c r="N1" t="s">
        <v>137</v>
      </c>
      <c r="O1" t="s">
        <v>138</v>
      </c>
    </row>
    <row r="2" spans="1:15" x14ac:dyDescent="0.25">
      <c r="A2" s="16" t="s">
        <v>113</v>
      </c>
      <c r="B2" t="s">
        <v>22</v>
      </c>
      <c r="C2" s="16" t="s">
        <v>31</v>
      </c>
      <c r="D2" s="10">
        <f>BudgetYr2[[#This Row],[Staff Cost]]-InvoiceYr2[[#This Row],[Staff Cost]]</f>
        <v>27725.179999999993</v>
      </c>
      <c r="E2" s="10">
        <f>BudgetYr2[[#This Row],[Direct Expenses]]-InvoiceYr2[[#This Row],[Direct Expenses]]</f>
        <v>3881.0799999999945</v>
      </c>
      <c r="F2" s="10">
        <f>BudgetYr2[[#This Row],[Support Costs]]-InvoiceYr2[[#This Row],[Support Costs]]</f>
        <v>1032.1800000000003</v>
      </c>
      <c r="G2" s="10">
        <f>BudgetYr2[[#This Row],[Consultant Cost]]-InvoiceYr2[[#This Row],[Consultant Cost]]</f>
        <v>0</v>
      </c>
      <c r="H2" s="10">
        <f>BudgetYr2[[#This Row],[FHWA Consultant Cost_OLD]]-InvoiceYr2[[#This Row],[FHWA Consultant Cost_OLD]]</f>
        <v>0</v>
      </c>
      <c r="I2" s="10">
        <f>BudgetYr2[[#This Row],[FTA Consultant Costs _OLD]]-InvoiceYr2[[#This Row],[FTA Consultant Costs _OLD]]</f>
        <v>0</v>
      </c>
      <c r="J2" s="10">
        <f>BudgetYr2[[#This Row],[FHWA_Staff_Other_OLD]]-InvoiceYr2[[#This Row],[FHWA_Staff_Other_OLD]]</f>
        <v>0</v>
      </c>
      <c r="K2" s="10">
        <f>BudgetYr2[[#This Row],[FTA_Staff_Other_Old]]-InvoiceYr2[[#This Row],[FTA_Staff_Other_Old]]</f>
        <v>0</v>
      </c>
      <c r="L2" s="10">
        <f>BudgetYr2[[#This Row],[FHWA Consultant Cost New]]-InvoiceYr2[[#This Row],[FHWA Consultant Cost New]]</f>
        <v>0</v>
      </c>
      <c r="M2" s="10">
        <f>BudgetYr2[[#This Row],[FTA Consultant Costs New]]-InvoiceYr2[[#This Row],[FTA Consultant Costs New]]</f>
        <v>0</v>
      </c>
      <c r="N2" s="10">
        <f>BudgetYr2[[#This Row],[FHWA_Staff_Other New]]-InvoiceYr2[[#This Row],[FHWA_Staff_Other New]]</f>
        <v>27526.395180722873</v>
      </c>
      <c r="O2" s="10">
        <f>BudgetYr2[[#This Row],[FTA_Staff_Other New]]-InvoiceYr2[[#This Row],[FTA_Staff_Other New]]</f>
        <v>5112.0448192771146</v>
      </c>
    </row>
    <row r="3" spans="1:15" x14ac:dyDescent="0.25">
      <c r="A3" s="16" t="s">
        <v>124</v>
      </c>
      <c r="B3" t="s">
        <v>22</v>
      </c>
      <c r="C3" s="16" t="s">
        <v>32</v>
      </c>
      <c r="D3" s="10">
        <f>BudgetYr2[[#This Row],[Staff Cost]]-InvoiceYr2[[#This Row],[Staff Cost]]</f>
        <v>7849.9200000000128</v>
      </c>
      <c r="E3" s="10">
        <f>BudgetYr2[[#This Row],[Direct Expenses]]-InvoiceYr2[[#This Row],[Direct Expenses]]</f>
        <v>1152.2000000000044</v>
      </c>
      <c r="F3" s="10">
        <f>BudgetYr2[[#This Row],[Support Costs]]-InvoiceYr2[[#This Row],[Support Costs]]</f>
        <v>0</v>
      </c>
      <c r="G3" s="10">
        <f>BudgetYr2[[#This Row],[Consultant Cost]]-InvoiceYr2[[#This Row],[Consultant Cost]]</f>
        <v>0</v>
      </c>
      <c r="H3" s="10">
        <f>BudgetYr2[[#This Row],[FHWA Consultant Cost_OLD]]-InvoiceYr2[[#This Row],[FHWA Consultant Cost_OLD]]</f>
        <v>0</v>
      </c>
      <c r="I3" s="10">
        <f>BudgetYr2[[#This Row],[FTA Consultant Costs _OLD]]-InvoiceYr2[[#This Row],[FTA Consultant Costs _OLD]]</f>
        <v>0</v>
      </c>
      <c r="J3" s="10">
        <f>BudgetYr2[[#This Row],[FHWA_Staff_Other_OLD]]-InvoiceYr2[[#This Row],[FHWA_Staff_Other_OLD]]</f>
        <v>0</v>
      </c>
      <c r="K3" s="10">
        <f>BudgetYr2[[#This Row],[FTA_Staff_Other_Old]]-InvoiceYr2[[#This Row],[FTA_Staff_Other_Old]]</f>
        <v>0</v>
      </c>
      <c r="L3" s="10">
        <f>BudgetYr2[[#This Row],[FHWA Consultant Cost New]]-InvoiceYr2[[#This Row],[FHWA Consultant Cost New]]</f>
        <v>0</v>
      </c>
      <c r="M3" s="10">
        <f>BudgetYr2[[#This Row],[FTA Consultant Costs New]]-InvoiceYr2[[#This Row],[FTA Consultant Costs New]]</f>
        <v>0</v>
      </c>
      <c r="N3" s="10">
        <f>BudgetYr2[[#This Row],[FHWA_Staff_Other New]]-InvoiceYr2[[#This Row],[FHWA_Staff_Other New]]</f>
        <v>7592.1493975903722</v>
      </c>
      <c r="O3" s="10">
        <f>BudgetYr2[[#This Row],[FTA_Staff_Other New]]-InvoiceYr2[[#This Row],[FTA_Staff_Other New]]</f>
        <v>1409.9706024096376</v>
      </c>
    </row>
    <row r="4" spans="1:15" x14ac:dyDescent="0.25">
      <c r="A4" s="16" t="s">
        <v>114</v>
      </c>
      <c r="B4" t="s">
        <v>22</v>
      </c>
      <c r="C4" s="16" t="s">
        <v>33</v>
      </c>
      <c r="D4" s="10">
        <f>BudgetYr2[[#This Row],[Staff Cost]]-InvoiceYr2[[#This Row],[Staff Cost]]</f>
        <v>20735.399999999965</v>
      </c>
      <c r="E4" s="10">
        <f>BudgetYr2[[#This Row],[Direct Expenses]]-InvoiceYr2[[#This Row],[Direct Expenses]]</f>
        <v>951.57999999999993</v>
      </c>
      <c r="F4" s="10">
        <f>BudgetYr2[[#This Row],[Support Costs]]-InvoiceYr2[[#This Row],[Support Costs]]</f>
        <v>27502</v>
      </c>
      <c r="G4" s="10">
        <f>BudgetYr2[[#This Row],[Consultant Cost]]-InvoiceYr2[[#This Row],[Consultant Cost]]</f>
        <v>0</v>
      </c>
      <c r="H4" s="10">
        <f>BudgetYr2[[#This Row],[FHWA Consultant Cost_OLD]]-InvoiceYr2[[#This Row],[FHWA Consultant Cost_OLD]]</f>
        <v>0</v>
      </c>
      <c r="I4" s="10">
        <f>BudgetYr2[[#This Row],[FTA Consultant Costs _OLD]]-InvoiceYr2[[#This Row],[FTA Consultant Costs _OLD]]</f>
        <v>0</v>
      </c>
      <c r="J4" s="10">
        <f>BudgetYr2[[#This Row],[FHWA_Staff_Other_OLD]]-InvoiceYr2[[#This Row],[FHWA_Staff_Other_OLD]]</f>
        <v>0</v>
      </c>
      <c r="K4" s="10">
        <f>BudgetYr2[[#This Row],[FTA_Staff_Other_Old]]-InvoiceYr2[[#This Row],[FTA_Staff_Other_Old]]</f>
        <v>0</v>
      </c>
      <c r="L4" s="10">
        <f>BudgetYr2[[#This Row],[FHWA Consultant Cost New]]-InvoiceYr2[[#This Row],[FHWA Consultant Cost New]]</f>
        <v>0</v>
      </c>
      <c r="M4" s="10">
        <f>BudgetYr2[[#This Row],[FTA Consultant Costs New]]-InvoiceYr2[[#This Row],[FTA Consultant Costs New]]</f>
        <v>0</v>
      </c>
      <c r="N4" s="10">
        <f>BudgetYr2[[#This Row],[FHWA_Staff_Other New]]-InvoiceYr2[[#This Row],[FHWA_Staff_Other New]]</f>
        <v>41484.68192771083</v>
      </c>
      <c r="O4" s="10">
        <f>BudgetYr2[[#This Row],[FTA_Staff_Other New]]-InvoiceYr2[[#This Row],[FTA_Staff_Other New]]</f>
        <v>7704.2980722891516</v>
      </c>
    </row>
    <row r="5" spans="1:15" x14ac:dyDescent="0.25">
      <c r="A5" s="16" t="s">
        <v>115</v>
      </c>
      <c r="B5" t="s">
        <v>22</v>
      </c>
      <c r="C5" s="16" t="s">
        <v>34</v>
      </c>
      <c r="D5" s="10">
        <f>BudgetYr2[[#This Row],[Staff Cost]]-InvoiceYr2[[#This Row],[Staff Cost]]</f>
        <v>17899.419999999984</v>
      </c>
      <c r="E5" s="10">
        <f>BudgetYr2[[#This Row],[Direct Expenses]]-InvoiceYr2[[#This Row],[Direct Expenses]]</f>
        <v>2922.6399999999994</v>
      </c>
      <c r="F5" s="10">
        <f>BudgetYr2[[#This Row],[Support Costs]]-InvoiceYr2[[#This Row],[Support Costs]]</f>
        <v>11988.130000000005</v>
      </c>
      <c r="G5" s="10">
        <f>BudgetYr2[[#This Row],[Consultant Cost]]-InvoiceYr2[[#This Row],[Consultant Cost]]</f>
        <v>0</v>
      </c>
      <c r="H5" s="10">
        <f>BudgetYr2[[#This Row],[FHWA Consultant Cost_OLD]]-InvoiceYr2[[#This Row],[FHWA Consultant Cost_OLD]]</f>
        <v>0</v>
      </c>
      <c r="I5" s="10">
        <f>BudgetYr2[[#This Row],[FTA Consultant Costs _OLD]]-InvoiceYr2[[#This Row],[FTA Consultant Costs _OLD]]</f>
        <v>0</v>
      </c>
      <c r="J5" s="10">
        <f>BudgetYr2[[#This Row],[FHWA_Staff_Other_OLD]]-InvoiceYr2[[#This Row],[FHWA_Staff_Other_OLD]]</f>
        <v>0</v>
      </c>
      <c r="K5" s="10">
        <f>BudgetYr2[[#This Row],[FTA_Staff_Other_Old]]-InvoiceYr2[[#This Row],[FTA_Staff_Other_Old]]</f>
        <v>0</v>
      </c>
      <c r="L5" s="10">
        <f>BudgetYr2[[#This Row],[FHWA Consultant Cost New]]-InvoiceYr2[[#This Row],[FHWA Consultant Cost New]]</f>
        <v>0</v>
      </c>
      <c r="M5" s="10">
        <f>BudgetYr2[[#This Row],[FTA Consultant Costs New]]-InvoiceYr2[[#This Row],[FTA Consultant Costs New]]</f>
        <v>0</v>
      </c>
      <c r="N5" s="10">
        <f>BudgetYr2[[#This Row],[FHWA_Staff_Other New]]-InvoiceYr2[[#This Row],[FHWA_Staff_Other New]]</f>
        <v>27671.244578313257</v>
      </c>
      <c r="O5" s="10">
        <f>BudgetYr2[[#This Row],[FTA_Staff_Other New]]-InvoiceYr2[[#This Row],[FTA_Staff_Other New]]</f>
        <v>5138.9454216867452</v>
      </c>
    </row>
    <row r="6" spans="1:15" x14ac:dyDescent="0.25">
      <c r="A6" s="16" t="s">
        <v>116</v>
      </c>
      <c r="B6" t="s">
        <v>22</v>
      </c>
      <c r="C6" s="16" t="s">
        <v>35</v>
      </c>
      <c r="D6" s="10">
        <f>BudgetYr2[[#This Row],[Staff Cost]]-InvoiceYr2[[#This Row],[Staff Cost]]</f>
        <v>0</v>
      </c>
      <c r="E6" s="10">
        <f>BudgetYr2[[#This Row],[Direct Expenses]]-InvoiceYr2[[#This Row],[Direct Expenses]]</f>
        <v>4459.4099999999962</v>
      </c>
      <c r="F6" s="10">
        <f>BudgetYr2[[#This Row],[Support Costs]]-InvoiceYr2[[#This Row],[Support Costs]]</f>
        <v>550</v>
      </c>
      <c r="G6" s="10">
        <f>BudgetYr2[[#This Row],[Consultant Cost]]-InvoiceYr2[[#This Row],[Consultant Cost]]</f>
        <v>0</v>
      </c>
      <c r="H6" s="10">
        <f>BudgetYr2[[#This Row],[FHWA Consultant Cost_OLD]]-InvoiceYr2[[#This Row],[FHWA Consultant Cost_OLD]]</f>
        <v>0</v>
      </c>
      <c r="I6" s="10">
        <f>BudgetYr2[[#This Row],[FTA Consultant Costs _OLD]]-InvoiceYr2[[#This Row],[FTA Consultant Costs _OLD]]</f>
        <v>0</v>
      </c>
      <c r="J6" s="10">
        <f>BudgetYr2[[#This Row],[FHWA_Staff_Other_OLD]]-InvoiceYr2[[#This Row],[FHWA_Staff_Other_OLD]]</f>
        <v>0</v>
      </c>
      <c r="K6" s="10">
        <f>BudgetYr2[[#This Row],[FTA_Staff_Other_Old]]-InvoiceYr2[[#This Row],[FTA_Staff_Other_Old]]</f>
        <v>0</v>
      </c>
      <c r="L6" s="10">
        <f>BudgetYr2[[#This Row],[FHWA Consultant Cost New]]-InvoiceYr2[[#This Row],[FHWA Consultant Cost New]]</f>
        <v>0</v>
      </c>
      <c r="M6" s="10">
        <f>BudgetYr2[[#This Row],[FTA Consultant Costs New]]-InvoiceYr2[[#This Row],[FTA Consultant Costs New]]</f>
        <v>0</v>
      </c>
      <c r="N6" s="10">
        <f>BudgetYr2[[#This Row],[FHWA_Staff_Other New]]-InvoiceYr2[[#This Row],[FHWA_Staff_Other New]]</f>
        <v>4224.8036144578364</v>
      </c>
      <c r="O6" s="10">
        <f>BudgetYr2[[#This Row],[FTA_Staff_Other New]]-InvoiceYr2[[#This Row],[FTA_Staff_Other New]]</f>
        <v>784.60638554216894</v>
      </c>
    </row>
    <row r="7" spans="1:15" x14ac:dyDescent="0.25">
      <c r="A7" s="16" t="s">
        <v>44</v>
      </c>
      <c r="B7" t="s">
        <v>22</v>
      </c>
      <c r="C7" s="16" t="s">
        <v>36</v>
      </c>
      <c r="D7" s="10">
        <f>BudgetYr2[[#This Row],[Staff Cost]]-InvoiceYr2[[#This Row],[Staff Cost]]</f>
        <v>13381.199999999983</v>
      </c>
      <c r="E7" s="10">
        <f>BudgetYr2[[#This Row],[Direct Expenses]]-InvoiceYr2[[#This Row],[Direct Expenses]]</f>
        <v>0</v>
      </c>
      <c r="F7" s="10">
        <f>BudgetYr2[[#This Row],[Support Costs]]-InvoiceYr2[[#This Row],[Support Costs]]</f>
        <v>0</v>
      </c>
      <c r="G7" s="10">
        <f>BudgetYr2[[#This Row],[Consultant Cost]]-InvoiceYr2[[#This Row],[Consultant Cost]]</f>
        <v>0</v>
      </c>
      <c r="H7" s="10">
        <f>BudgetYr2[[#This Row],[FHWA Consultant Cost_OLD]]-InvoiceYr2[[#This Row],[FHWA Consultant Cost_OLD]]</f>
        <v>0</v>
      </c>
      <c r="I7" s="10">
        <f>BudgetYr2[[#This Row],[FTA Consultant Costs _OLD]]-InvoiceYr2[[#This Row],[FTA Consultant Costs _OLD]]</f>
        <v>0</v>
      </c>
      <c r="J7" s="10">
        <f>BudgetYr2[[#This Row],[FHWA_Staff_Other_OLD]]-InvoiceYr2[[#This Row],[FHWA_Staff_Other_OLD]]</f>
        <v>0</v>
      </c>
      <c r="K7" s="10">
        <f>BudgetYr2[[#This Row],[FTA_Staff_Other_Old]]-InvoiceYr2[[#This Row],[FTA_Staff_Other_Old]]</f>
        <v>0</v>
      </c>
      <c r="L7" s="10">
        <f>BudgetYr2[[#This Row],[FHWA Consultant Cost New]]-InvoiceYr2[[#This Row],[FHWA Consultant Cost New]]</f>
        <v>0</v>
      </c>
      <c r="M7" s="10">
        <f>BudgetYr2[[#This Row],[FTA Consultant Costs New]]-InvoiceYr2[[#This Row],[FTA Consultant Costs New]]</f>
        <v>0</v>
      </c>
      <c r="N7" s="10">
        <f>BudgetYr2[[#This Row],[FHWA_Staff_Other New]]-InvoiceYr2[[#This Row],[FHWA_Staff_Other New]]</f>
        <v>11285.34939759034</v>
      </c>
      <c r="O7" s="10">
        <f>BudgetYr2[[#This Row],[FTA_Staff_Other New]]-InvoiceYr2[[#This Row],[FTA_Staff_Other New]]</f>
        <v>2095.850602409635</v>
      </c>
    </row>
    <row r="8" spans="1:15" x14ac:dyDescent="0.25">
      <c r="A8" s="16" t="s">
        <v>45</v>
      </c>
      <c r="B8" t="s">
        <v>22</v>
      </c>
      <c r="C8" s="16" t="s">
        <v>37</v>
      </c>
      <c r="D8" s="10">
        <f>BudgetYr2[[#This Row],[Staff Cost]]-InvoiceYr2[[#This Row],[Staff Cost]]</f>
        <v>53281.440000000002</v>
      </c>
      <c r="E8" s="10">
        <f>BudgetYr2[[#This Row],[Direct Expenses]]-InvoiceYr2[[#This Row],[Direct Expenses]]</f>
        <v>12813.150000000009</v>
      </c>
      <c r="F8" s="10">
        <f>BudgetYr2[[#This Row],[Support Costs]]-InvoiceYr2[[#This Row],[Support Costs]]</f>
        <v>0</v>
      </c>
      <c r="G8" s="10">
        <f>BudgetYr2[[#This Row],[Consultant Cost]]-InvoiceYr2[[#This Row],[Consultant Cost]]</f>
        <v>0</v>
      </c>
      <c r="H8" s="10">
        <f>BudgetYr2[[#This Row],[FHWA Consultant Cost_OLD]]-InvoiceYr2[[#This Row],[FHWA Consultant Cost_OLD]]</f>
        <v>0</v>
      </c>
      <c r="I8" s="10">
        <f>BudgetYr2[[#This Row],[FTA Consultant Costs _OLD]]-InvoiceYr2[[#This Row],[FTA Consultant Costs _OLD]]</f>
        <v>0</v>
      </c>
      <c r="J8" s="10">
        <f>BudgetYr2[[#This Row],[FHWA_Staff_Other_OLD]]-InvoiceYr2[[#This Row],[FHWA_Staff_Other_OLD]]</f>
        <v>0</v>
      </c>
      <c r="K8" s="10">
        <f>BudgetYr2[[#This Row],[FTA_Staff_Other_Old]]-InvoiceYr2[[#This Row],[FTA_Staff_Other_Old]]</f>
        <v>0</v>
      </c>
      <c r="L8" s="10">
        <f>BudgetYr2[[#This Row],[FHWA Consultant Cost New]]-InvoiceYr2[[#This Row],[FHWA Consultant Cost New]]</f>
        <v>0</v>
      </c>
      <c r="M8" s="10">
        <f>BudgetYr2[[#This Row],[FTA Consultant Costs New]]-InvoiceYr2[[#This Row],[FTA Consultant Costs New]]</f>
        <v>0</v>
      </c>
      <c r="N8" s="10">
        <f>BudgetYr2[[#This Row],[FHWA_Staff_Other New]]-InvoiceYr2[[#This Row],[FHWA_Staff_Other New]]</f>
        <v>55742.425301204843</v>
      </c>
      <c r="O8" s="10">
        <f>BudgetYr2[[#This Row],[FTA_Staff_Other New]]-InvoiceYr2[[#This Row],[FTA_Staff_Other New]]</f>
        <v>10352.164698795183</v>
      </c>
    </row>
    <row r="9" spans="1:15" x14ac:dyDescent="0.25">
      <c r="A9" s="16" t="s">
        <v>128</v>
      </c>
      <c r="B9" t="s">
        <v>22</v>
      </c>
      <c r="C9" s="16" t="s">
        <v>125</v>
      </c>
      <c r="D9" s="10">
        <f>BudgetYr2[[#This Row],[Staff Cost]]-InvoiceYr2[[#This Row],[Staff Cost]]</f>
        <v>0</v>
      </c>
      <c r="E9" s="10">
        <f>BudgetYr2[[#This Row],[Direct Expenses]]-InvoiceYr2[[#This Row],[Direct Expenses]]</f>
        <v>0</v>
      </c>
      <c r="F9" s="10">
        <f>BudgetYr2[[#This Row],[Support Costs]]-InvoiceYr2[[#This Row],[Support Costs]]</f>
        <v>0</v>
      </c>
      <c r="G9" s="10">
        <f>BudgetYr2[[#This Row],[Consultant Cost]]-InvoiceYr2[[#This Row],[Consultant Cost]]</f>
        <v>440000</v>
      </c>
      <c r="H9" s="10">
        <f>BudgetYr2[[#This Row],[FHWA Consultant Cost_OLD]]-InvoiceYr2[[#This Row],[FHWA Consultant Cost_OLD]]</f>
        <v>0</v>
      </c>
      <c r="I9" s="10">
        <f>BudgetYr2[[#This Row],[FTA Consultant Costs _OLD]]-InvoiceYr2[[#This Row],[FTA Consultant Costs _OLD]]</f>
        <v>0</v>
      </c>
      <c r="J9" s="10">
        <f>BudgetYr2[[#This Row],[FHWA_Staff_Other_OLD]]-InvoiceYr2[[#This Row],[FHWA_Staff_Other_OLD]]</f>
        <v>0</v>
      </c>
      <c r="K9" s="10">
        <f>BudgetYr2[[#This Row],[FTA_Staff_Other_Old]]-InvoiceYr2[[#This Row],[FTA_Staff_Other_Old]]</f>
        <v>0</v>
      </c>
      <c r="L9" s="10">
        <f>BudgetYr2[[#This Row],[FHWA Consultant Cost New]]-InvoiceYr2[[#This Row],[FHWA Consultant Cost New]]</f>
        <v>940000</v>
      </c>
      <c r="M9" s="10">
        <f>BudgetYr2[[#This Row],[FTA Consultant Costs New]]-InvoiceYr2[[#This Row],[FTA Consultant Costs New]]</f>
        <v>0</v>
      </c>
      <c r="N9" s="10">
        <f>BudgetYr2[[#This Row],[FHWA_Staff_Other New]]-InvoiceYr2[[#This Row],[FHWA_Staff_Other New]]</f>
        <v>0</v>
      </c>
      <c r="O9" s="10">
        <f>BudgetYr2[[#This Row],[FTA_Staff_Other New]]-InvoiceYr2[[#This Row],[FTA_Staff_Other New]]</f>
        <v>0</v>
      </c>
    </row>
    <row r="10" spans="1:15" x14ac:dyDescent="0.25">
      <c r="A10" s="16" t="s">
        <v>129</v>
      </c>
      <c r="B10" t="s">
        <v>22</v>
      </c>
      <c r="C10" s="16" t="s">
        <v>126</v>
      </c>
      <c r="D10" s="10">
        <f>BudgetYr2[[#This Row],[Staff Cost]]-InvoiceYr2[[#This Row],[Staff Cost]]</f>
        <v>0</v>
      </c>
      <c r="E10" s="10">
        <f>BudgetYr2[[#This Row],[Direct Expenses]]-InvoiceYr2[[#This Row],[Direct Expenses]]</f>
        <v>0</v>
      </c>
      <c r="F10" s="10">
        <f>BudgetYr2[[#This Row],[Support Costs]]-InvoiceYr2[[#This Row],[Support Costs]]</f>
        <v>1027.9800000000014</v>
      </c>
      <c r="G10" s="10">
        <f>BudgetYr2[[#This Row],[Consultant Cost]]-InvoiceYr2[[#This Row],[Consultant Cost]]</f>
        <v>0</v>
      </c>
      <c r="H10" s="10">
        <f>BudgetYr2[[#This Row],[FHWA Consultant Cost_OLD]]-InvoiceYr2[[#This Row],[FHWA Consultant Cost_OLD]]</f>
        <v>0</v>
      </c>
      <c r="I10" s="10">
        <f>BudgetYr2[[#This Row],[FTA Consultant Costs _OLD]]-InvoiceYr2[[#This Row],[FTA Consultant Costs _OLD]]</f>
        <v>0</v>
      </c>
      <c r="J10" s="10">
        <f>BudgetYr2[[#This Row],[FHWA_Staff_Other_OLD]]-InvoiceYr2[[#This Row],[FHWA_Staff_Other_OLD]]</f>
        <v>0</v>
      </c>
      <c r="K10" s="10">
        <f>BudgetYr2[[#This Row],[FTA_Staff_Other_Old]]-InvoiceYr2[[#This Row],[FTA_Staff_Other_Old]]</f>
        <v>0</v>
      </c>
      <c r="L10" s="10">
        <f>BudgetYr2[[#This Row],[FHWA Consultant Cost New]]-InvoiceYr2[[#This Row],[FHWA Consultant Cost New]]</f>
        <v>0</v>
      </c>
      <c r="M10" s="10">
        <f>BudgetYr2[[#This Row],[FTA Consultant Costs New]]-InvoiceYr2[[#This Row],[FTA Consultant Costs New]]</f>
        <v>0</v>
      </c>
      <c r="N10" s="10">
        <f>BudgetYr2[[#This Row],[FHWA_Staff_Other New]]-InvoiceYr2[[#This Row],[FHWA_Staff_Other New]]</f>
        <v>866.97108433735229</v>
      </c>
      <c r="O10" s="10">
        <f>BudgetYr2[[#This Row],[FTA_Staff_Other New]]-InvoiceYr2[[#This Row],[FTA_Staff_Other New]]</f>
        <v>161.00891566265091</v>
      </c>
    </row>
    <row r="11" spans="1:15" x14ac:dyDescent="0.25">
      <c r="A11" s="16" t="s">
        <v>113</v>
      </c>
      <c r="B11" t="s">
        <v>23</v>
      </c>
      <c r="C11" s="16" t="s">
        <v>31</v>
      </c>
      <c r="D11" s="10">
        <f>BudgetYr2[[#This Row],[Staff Cost]]-InvoiceYr2[[#This Row],[Staff Cost]]</f>
        <v>0</v>
      </c>
      <c r="E11" s="10">
        <f>BudgetYr2[[#This Row],[Direct Expenses]]-InvoiceYr2[[#This Row],[Direct Expenses]]</f>
        <v>0</v>
      </c>
      <c r="F11" s="10">
        <f>BudgetYr2[[#This Row],[Support Costs]]-InvoiceYr2[[#This Row],[Support Costs]]</f>
        <v>0</v>
      </c>
      <c r="G11" s="10">
        <f>BudgetYr2[[#This Row],[Consultant Cost]]-InvoiceYr2[[#This Row],[Consultant Cost]]</f>
        <v>0</v>
      </c>
      <c r="H11" s="10">
        <f>BudgetYr2[[#This Row],[FHWA Consultant Cost_OLD]]-InvoiceYr2[[#This Row],[FHWA Consultant Cost_OLD]]</f>
        <v>0</v>
      </c>
      <c r="I11" s="10">
        <f>BudgetYr2[[#This Row],[FTA Consultant Costs _OLD]]-InvoiceYr2[[#This Row],[FTA Consultant Costs _OLD]]</f>
        <v>0</v>
      </c>
      <c r="J11" s="10">
        <f>BudgetYr2[[#This Row],[FHWA_Staff_Other_OLD]]-InvoiceYr2[[#This Row],[FHWA_Staff_Other_OLD]]</f>
        <v>0</v>
      </c>
      <c r="K11" s="10">
        <f>BudgetYr2[[#This Row],[FTA_Staff_Other_Old]]-InvoiceYr2[[#This Row],[FTA_Staff_Other_Old]]</f>
        <v>0</v>
      </c>
      <c r="L11" s="10">
        <f>BudgetYr2[[#This Row],[FHWA Consultant Cost New]]-InvoiceYr2[[#This Row],[FHWA Consultant Cost New]]</f>
        <v>0</v>
      </c>
      <c r="M11" s="10">
        <f>BudgetYr2[[#This Row],[FTA Consultant Costs New]]-InvoiceYr2[[#This Row],[FTA Consultant Costs New]]</f>
        <v>0</v>
      </c>
      <c r="N11" s="10">
        <f>BudgetYr2[[#This Row],[FHWA_Staff_Other New]]-InvoiceYr2[[#This Row],[FHWA_Staff_Other New]]</f>
        <v>0</v>
      </c>
      <c r="O11" s="10">
        <f>BudgetYr2[[#This Row],[FTA_Staff_Other New]]-InvoiceYr2[[#This Row],[FTA_Staff_Other New]]</f>
        <v>0</v>
      </c>
    </row>
    <row r="12" spans="1:15" x14ac:dyDescent="0.25">
      <c r="A12" s="16" t="s">
        <v>124</v>
      </c>
      <c r="B12" t="s">
        <v>23</v>
      </c>
      <c r="C12" s="16" t="s">
        <v>32</v>
      </c>
      <c r="D12" s="10">
        <f>BudgetYr2[[#This Row],[Staff Cost]]-InvoiceYr2[[#This Row],[Staff Cost]]</f>
        <v>0</v>
      </c>
      <c r="E12" s="10">
        <f>BudgetYr2[[#This Row],[Direct Expenses]]-InvoiceYr2[[#This Row],[Direct Expenses]]</f>
        <v>0</v>
      </c>
      <c r="F12" s="10">
        <f>BudgetYr2[[#This Row],[Support Costs]]-InvoiceYr2[[#This Row],[Support Costs]]</f>
        <v>0</v>
      </c>
      <c r="G12" s="10">
        <f>BudgetYr2[[#This Row],[Consultant Cost]]-InvoiceYr2[[#This Row],[Consultant Cost]]</f>
        <v>0</v>
      </c>
      <c r="H12" s="10">
        <f>BudgetYr2[[#This Row],[FHWA Consultant Cost_OLD]]-InvoiceYr2[[#This Row],[FHWA Consultant Cost_OLD]]</f>
        <v>0</v>
      </c>
      <c r="I12" s="10">
        <f>BudgetYr2[[#This Row],[FTA Consultant Costs _OLD]]-InvoiceYr2[[#This Row],[FTA Consultant Costs _OLD]]</f>
        <v>0</v>
      </c>
      <c r="J12" s="10">
        <f>BudgetYr2[[#This Row],[FHWA_Staff_Other_OLD]]-InvoiceYr2[[#This Row],[FHWA_Staff_Other_OLD]]</f>
        <v>0</v>
      </c>
      <c r="K12" s="10">
        <f>BudgetYr2[[#This Row],[FTA_Staff_Other_Old]]-InvoiceYr2[[#This Row],[FTA_Staff_Other_Old]]</f>
        <v>0</v>
      </c>
      <c r="L12" s="10">
        <f>BudgetYr2[[#This Row],[FHWA Consultant Cost New]]-InvoiceYr2[[#This Row],[FHWA Consultant Cost New]]</f>
        <v>0</v>
      </c>
      <c r="M12" s="10">
        <f>BudgetYr2[[#This Row],[FTA Consultant Costs New]]-InvoiceYr2[[#This Row],[FTA Consultant Costs New]]</f>
        <v>0</v>
      </c>
      <c r="N12" s="10">
        <f>BudgetYr2[[#This Row],[FHWA_Staff_Other New]]-InvoiceYr2[[#This Row],[FHWA_Staff_Other New]]</f>
        <v>0</v>
      </c>
      <c r="O12" s="10">
        <f>BudgetYr2[[#This Row],[FTA_Staff_Other New]]-InvoiceYr2[[#This Row],[FTA_Staff_Other New]]</f>
        <v>0</v>
      </c>
    </row>
    <row r="13" spans="1:15" x14ac:dyDescent="0.25">
      <c r="A13" s="16" t="s">
        <v>114</v>
      </c>
      <c r="B13" t="s">
        <v>23</v>
      </c>
      <c r="C13" s="16" t="s">
        <v>33</v>
      </c>
      <c r="D13" s="10">
        <f>BudgetYr2[[#This Row],[Staff Cost]]-InvoiceYr2[[#This Row],[Staff Cost]]</f>
        <v>2505.1199999999953</v>
      </c>
      <c r="E13" s="10">
        <f>BudgetYr2[[#This Row],[Direct Expenses]]-InvoiceYr2[[#This Row],[Direct Expenses]]</f>
        <v>0</v>
      </c>
      <c r="F13" s="10">
        <f>BudgetYr2[[#This Row],[Support Costs]]-InvoiceYr2[[#This Row],[Support Costs]]</f>
        <v>0</v>
      </c>
      <c r="G13" s="10">
        <f>BudgetYr2[[#This Row],[Consultant Cost]]-InvoiceYr2[[#This Row],[Consultant Cost]]</f>
        <v>0</v>
      </c>
      <c r="H13" s="10">
        <f>BudgetYr2[[#This Row],[FHWA Consultant Cost_OLD]]-InvoiceYr2[[#This Row],[FHWA Consultant Cost_OLD]]</f>
        <v>0</v>
      </c>
      <c r="I13" s="10">
        <f>BudgetYr2[[#This Row],[FTA Consultant Costs _OLD]]-InvoiceYr2[[#This Row],[FTA Consultant Costs _OLD]]</f>
        <v>0</v>
      </c>
      <c r="J13" s="10">
        <f>BudgetYr2[[#This Row],[FHWA_Staff_Other_OLD]]-InvoiceYr2[[#This Row],[FHWA_Staff_Other_OLD]]</f>
        <v>0</v>
      </c>
      <c r="K13" s="10">
        <f>BudgetYr2[[#This Row],[FTA_Staff_Other_Old]]-InvoiceYr2[[#This Row],[FTA_Staff_Other_Old]]</f>
        <v>0</v>
      </c>
      <c r="L13" s="10">
        <f>BudgetYr2[[#This Row],[FHWA Consultant Cost New]]-InvoiceYr2[[#This Row],[FHWA Consultant Cost New]]</f>
        <v>0</v>
      </c>
      <c r="M13" s="10">
        <f>BudgetYr2[[#This Row],[FTA Consultant Costs New]]-InvoiceYr2[[#This Row],[FTA Consultant Costs New]]</f>
        <v>0</v>
      </c>
      <c r="N13" s="10">
        <f>BudgetYr2[[#This Row],[FHWA_Staff_Other New]]-InvoiceYr2[[#This Row],[FHWA_Staff_Other New]]</f>
        <v>2112.7518072289095</v>
      </c>
      <c r="O13" s="10">
        <f>BudgetYr2[[#This Row],[FTA_Staff_Other New]]-InvoiceYr2[[#This Row],[FTA_Staff_Other New]]</f>
        <v>392.36819277108589</v>
      </c>
    </row>
    <row r="14" spans="1:15" x14ac:dyDescent="0.25">
      <c r="A14" s="16" t="s">
        <v>115</v>
      </c>
      <c r="B14" t="s">
        <v>23</v>
      </c>
      <c r="C14" s="16" t="s">
        <v>34</v>
      </c>
      <c r="D14" s="10">
        <f>BudgetYr2[[#This Row],[Staff Cost]]-InvoiceYr2[[#This Row],[Staff Cost]]</f>
        <v>0</v>
      </c>
      <c r="E14" s="10">
        <f>BudgetYr2[[#This Row],[Direct Expenses]]-InvoiceYr2[[#This Row],[Direct Expenses]]</f>
        <v>0</v>
      </c>
      <c r="F14" s="10">
        <f>BudgetYr2[[#This Row],[Support Costs]]-InvoiceYr2[[#This Row],[Support Costs]]</f>
        <v>0</v>
      </c>
      <c r="G14" s="10">
        <f>BudgetYr2[[#This Row],[Consultant Cost]]-InvoiceYr2[[#This Row],[Consultant Cost]]</f>
        <v>0</v>
      </c>
      <c r="H14" s="10">
        <f>BudgetYr2[[#This Row],[FHWA Consultant Cost_OLD]]-InvoiceYr2[[#This Row],[FHWA Consultant Cost_OLD]]</f>
        <v>0</v>
      </c>
      <c r="I14" s="10">
        <f>BudgetYr2[[#This Row],[FTA Consultant Costs _OLD]]-InvoiceYr2[[#This Row],[FTA Consultant Costs _OLD]]</f>
        <v>0</v>
      </c>
      <c r="J14" s="10">
        <f>BudgetYr2[[#This Row],[FHWA_Staff_Other_OLD]]-InvoiceYr2[[#This Row],[FHWA_Staff_Other_OLD]]</f>
        <v>0</v>
      </c>
      <c r="K14" s="10">
        <f>BudgetYr2[[#This Row],[FTA_Staff_Other_Old]]-InvoiceYr2[[#This Row],[FTA_Staff_Other_Old]]</f>
        <v>0</v>
      </c>
      <c r="L14" s="10">
        <f>BudgetYr2[[#This Row],[FHWA Consultant Cost New]]-InvoiceYr2[[#This Row],[FHWA Consultant Cost New]]</f>
        <v>0</v>
      </c>
      <c r="M14" s="10">
        <f>BudgetYr2[[#This Row],[FTA Consultant Costs New]]-InvoiceYr2[[#This Row],[FTA Consultant Costs New]]</f>
        <v>0</v>
      </c>
      <c r="N14" s="10">
        <f>BudgetYr2[[#This Row],[FHWA_Staff_Other New]]-InvoiceYr2[[#This Row],[FHWA_Staff_Other New]]</f>
        <v>0</v>
      </c>
      <c r="O14" s="10">
        <f>BudgetYr2[[#This Row],[FTA_Staff_Other New]]-InvoiceYr2[[#This Row],[FTA_Staff_Other New]]</f>
        <v>0</v>
      </c>
    </row>
    <row r="15" spans="1:15" x14ac:dyDescent="0.25">
      <c r="A15" s="16" t="s">
        <v>116</v>
      </c>
      <c r="B15" t="s">
        <v>23</v>
      </c>
      <c r="C15" s="16" t="s">
        <v>35</v>
      </c>
      <c r="D15" s="10">
        <f>BudgetYr2[[#This Row],[Staff Cost]]-InvoiceYr2[[#This Row],[Staff Cost]]</f>
        <v>0</v>
      </c>
      <c r="E15" s="10">
        <f>BudgetYr2[[#This Row],[Direct Expenses]]-InvoiceYr2[[#This Row],[Direct Expenses]]</f>
        <v>0</v>
      </c>
      <c r="F15" s="10">
        <f>BudgetYr2[[#This Row],[Support Costs]]-InvoiceYr2[[#This Row],[Support Costs]]</f>
        <v>0</v>
      </c>
      <c r="G15" s="10">
        <f>BudgetYr2[[#This Row],[Consultant Cost]]-InvoiceYr2[[#This Row],[Consultant Cost]]</f>
        <v>0</v>
      </c>
      <c r="H15" s="10">
        <f>BudgetYr2[[#This Row],[FHWA Consultant Cost_OLD]]-InvoiceYr2[[#This Row],[FHWA Consultant Cost_OLD]]</f>
        <v>0</v>
      </c>
      <c r="I15" s="10">
        <f>BudgetYr2[[#This Row],[FTA Consultant Costs _OLD]]-InvoiceYr2[[#This Row],[FTA Consultant Costs _OLD]]</f>
        <v>0</v>
      </c>
      <c r="J15" s="10">
        <f>BudgetYr2[[#This Row],[FHWA_Staff_Other_OLD]]-InvoiceYr2[[#This Row],[FHWA_Staff_Other_OLD]]</f>
        <v>0</v>
      </c>
      <c r="K15" s="10">
        <f>BudgetYr2[[#This Row],[FTA_Staff_Other_Old]]-InvoiceYr2[[#This Row],[FTA_Staff_Other_Old]]</f>
        <v>0</v>
      </c>
      <c r="L15" s="10">
        <f>BudgetYr2[[#This Row],[FHWA Consultant Cost New]]-InvoiceYr2[[#This Row],[FHWA Consultant Cost New]]</f>
        <v>0</v>
      </c>
      <c r="M15" s="10">
        <f>BudgetYr2[[#This Row],[FTA Consultant Costs New]]-InvoiceYr2[[#This Row],[FTA Consultant Costs New]]</f>
        <v>0</v>
      </c>
      <c r="N15" s="10">
        <f>BudgetYr2[[#This Row],[FHWA_Staff_Other New]]-InvoiceYr2[[#This Row],[FHWA_Staff_Other New]]</f>
        <v>0</v>
      </c>
      <c r="O15" s="10">
        <f>BudgetYr2[[#This Row],[FTA_Staff_Other New]]-InvoiceYr2[[#This Row],[FTA_Staff_Other New]]</f>
        <v>0</v>
      </c>
    </row>
    <row r="16" spans="1:15" x14ac:dyDescent="0.25">
      <c r="A16" s="16" t="s">
        <v>44</v>
      </c>
      <c r="B16" t="s">
        <v>23</v>
      </c>
      <c r="C16" s="16" t="s">
        <v>36</v>
      </c>
      <c r="D16" s="10">
        <f>BudgetYr2[[#This Row],[Staff Cost]]-InvoiceYr2[[#This Row],[Staff Cost]]</f>
        <v>3555.0599999999977</v>
      </c>
      <c r="E16" s="10">
        <f>BudgetYr2[[#This Row],[Direct Expenses]]-InvoiceYr2[[#This Row],[Direct Expenses]]</f>
        <v>0</v>
      </c>
      <c r="F16" s="10">
        <f>BudgetYr2[[#This Row],[Support Costs]]-InvoiceYr2[[#This Row],[Support Costs]]</f>
        <v>0</v>
      </c>
      <c r="G16" s="10">
        <f>BudgetYr2[[#This Row],[Consultant Cost]]-InvoiceYr2[[#This Row],[Consultant Cost]]</f>
        <v>0</v>
      </c>
      <c r="H16" s="10">
        <f>BudgetYr2[[#This Row],[FHWA Consultant Cost_OLD]]-InvoiceYr2[[#This Row],[FHWA Consultant Cost_OLD]]</f>
        <v>0</v>
      </c>
      <c r="I16" s="10">
        <f>BudgetYr2[[#This Row],[FTA Consultant Costs _OLD]]-InvoiceYr2[[#This Row],[FTA Consultant Costs _OLD]]</f>
        <v>0</v>
      </c>
      <c r="J16" s="10">
        <f>BudgetYr2[[#This Row],[FHWA_Staff_Other_OLD]]-InvoiceYr2[[#This Row],[FHWA_Staff_Other_OLD]]</f>
        <v>0</v>
      </c>
      <c r="K16" s="10">
        <f>BudgetYr2[[#This Row],[FTA_Staff_Other_Old]]-InvoiceYr2[[#This Row],[FTA_Staff_Other_Old]]</f>
        <v>0</v>
      </c>
      <c r="L16" s="10">
        <f>BudgetYr2[[#This Row],[FHWA Consultant Cost New]]-InvoiceYr2[[#This Row],[FHWA Consultant Cost New]]</f>
        <v>0</v>
      </c>
      <c r="M16" s="10">
        <f>BudgetYr2[[#This Row],[FTA Consultant Costs New]]-InvoiceYr2[[#This Row],[FTA Consultant Costs New]]</f>
        <v>0</v>
      </c>
      <c r="N16" s="10">
        <f>BudgetYr2[[#This Row],[FHWA_Staff_Other New]]-InvoiceYr2[[#This Row],[FHWA_Staff_Other New]]</f>
        <v>2998.2433734939841</v>
      </c>
      <c r="O16" s="10">
        <f>BudgetYr2[[#This Row],[FTA_Staff_Other New]]-InvoiceYr2[[#This Row],[FTA_Staff_Other New]]</f>
        <v>556.81662650602084</v>
      </c>
    </row>
    <row r="17" spans="1:15" x14ac:dyDescent="0.25">
      <c r="A17" s="16" t="s">
        <v>45</v>
      </c>
      <c r="B17" t="s">
        <v>23</v>
      </c>
      <c r="C17" s="16" t="s">
        <v>37</v>
      </c>
      <c r="D17" s="10">
        <f>BudgetYr2[[#This Row],[Staff Cost]]-InvoiceYr2[[#This Row],[Staff Cost]]</f>
        <v>3297.2399999999907</v>
      </c>
      <c r="E17" s="10">
        <f>BudgetYr2[[#This Row],[Direct Expenses]]-InvoiceYr2[[#This Row],[Direct Expenses]]</f>
        <v>1560.9599999999991</v>
      </c>
      <c r="F17" s="10">
        <f>BudgetYr2[[#This Row],[Support Costs]]-InvoiceYr2[[#This Row],[Support Costs]]</f>
        <v>419.27999999999975</v>
      </c>
      <c r="G17" s="10">
        <f>BudgetYr2[[#This Row],[Consultant Cost]]-InvoiceYr2[[#This Row],[Consultant Cost]]</f>
        <v>0</v>
      </c>
      <c r="H17" s="10">
        <f>BudgetYr2[[#This Row],[FHWA Consultant Cost_OLD]]-InvoiceYr2[[#This Row],[FHWA Consultant Cost_OLD]]</f>
        <v>0</v>
      </c>
      <c r="I17" s="10">
        <f>BudgetYr2[[#This Row],[FTA Consultant Costs _OLD]]-InvoiceYr2[[#This Row],[FTA Consultant Costs _OLD]]</f>
        <v>0</v>
      </c>
      <c r="J17" s="10">
        <f>BudgetYr2[[#This Row],[FHWA_Staff_Other_OLD]]-InvoiceYr2[[#This Row],[FHWA_Staff_Other_OLD]]</f>
        <v>0</v>
      </c>
      <c r="K17" s="10">
        <f>BudgetYr2[[#This Row],[FTA_Staff_Other_Old]]-InvoiceYr2[[#This Row],[FTA_Staff_Other_Old]]</f>
        <v>0</v>
      </c>
      <c r="L17" s="10">
        <f>BudgetYr2[[#This Row],[FHWA Consultant Cost New]]-InvoiceYr2[[#This Row],[FHWA Consultant Cost New]]</f>
        <v>0</v>
      </c>
      <c r="M17" s="10">
        <f>BudgetYr2[[#This Row],[FTA Consultant Costs New]]-InvoiceYr2[[#This Row],[FTA Consultant Costs New]]</f>
        <v>0</v>
      </c>
      <c r="N17" s="10">
        <f>BudgetYr2[[#This Row],[FHWA_Staff_Other New]]-InvoiceYr2[[#This Row],[FHWA_Staff_Other New]]</f>
        <v>4450.8867469879915</v>
      </c>
      <c r="O17" s="10">
        <f>BudgetYr2[[#This Row],[FTA_Staff_Other New]]-InvoiceYr2[[#This Row],[FTA_Staff_Other New]]</f>
        <v>826.59325301205899</v>
      </c>
    </row>
    <row r="18" spans="1:15" x14ac:dyDescent="0.25">
      <c r="A18" s="16" t="s">
        <v>128</v>
      </c>
      <c r="B18" t="s">
        <v>23</v>
      </c>
      <c r="C18" s="16" t="s">
        <v>125</v>
      </c>
      <c r="D18" s="10">
        <f>BudgetYr2[[#This Row],[Staff Cost]]-InvoiceYr2[[#This Row],[Staff Cost]]</f>
        <v>0</v>
      </c>
      <c r="E18" s="10">
        <f>BudgetYr2[[#This Row],[Direct Expenses]]-InvoiceYr2[[#This Row],[Direct Expenses]]</f>
        <v>0</v>
      </c>
      <c r="F18" s="10">
        <f>BudgetYr2[[#This Row],[Support Costs]]-InvoiceYr2[[#This Row],[Support Costs]]</f>
        <v>0</v>
      </c>
      <c r="G18" s="10">
        <f>BudgetYr2[[#This Row],[Consultant Cost]]-InvoiceYr2[[#This Row],[Consultant Cost]]</f>
        <v>0</v>
      </c>
      <c r="H18" s="10">
        <f>BudgetYr2[[#This Row],[FHWA Consultant Cost_OLD]]-InvoiceYr2[[#This Row],[FHWA Consultant Cost_OLD]]</f>
        <v>0</v>
      </c>
      <c r="I18" s="10">
        <f>BudgetYr2[[#This Row],[FTA Consultant Costs _OLD]]-InvoiceYr2[[#This Row],[FTA Consultant Costs _OLD]]</f>
        <v>0</v>
      </c>
      <c r="J18" s="10">
        <f>BudgetYr2[[#This Row],[FHWA_Staff_Other_OLD]]-InvoiceYr2[[#This Row],[FHWA_Staff_Other_OLD]]</f>
        <v>0</v>
      </c>
      <c r="K18" s="10">
        <f>BudgetYr2[[#This Row],[FTA_Staff_Other_Old]]-InvoiceYr2[[#This Row],[FTA_Staff_Other_Old]]</f>
        <v>0</v>
      </c>
      <c r="L18" s="10">
        <f>BudgetYr2[[#This Row],[FHWA Consultant Cost New]]-InvoiceYr2[[#This Row],[FHWA Consultant Cost New]]</f>
        <v>0</v>
      </c>
      <c r="M18" s="10">
        <f>BudgetYr2[[#This Row],[FTA Consultant Costs New]]-InvoiceYr2[[#This Row],[FTA Consultant Costs New]]</f>
        <v>0</v>
      </c>
      <c r="N18" s="10">
        <f>BudgetYr2[[#This Row],[FHWA_Staff_Other New]]-InvoiceYr2[[#This Row],[FHWA_Staff_Other New]]</f>
        <v>0</v>
      </c>
      <c r="O18" s="10">
        <f>BudgetYr2[[#This Row],[FTA_Staff_Other New]]-InvoiceYr2[[#This Row],[FTA_Staff_Other New]]</f>
        <v>0</v>
      </c>
    </row>
    <row r="19" spans="1:15" x14ac:dyDescent="0.25">
      <c r="A19" s="16" t="s">
        <v>129</v>
      </c>
      <c r="B19" t="s">
        <v>23</v>
      </c>
      <c r="C19" s="16" t="s">
        <v>126</v>
      </c>
      <c r="D19" s="10">
        <f>BudgetYr2[[#This Row],[Staff Cost]]-InvoiceYr2[[#This Row],[Staff Cost]]</f>
        <v>0</v>
      </c>
      <c r="E19" s="10">
        <f>BudgetYr2[[#This Row],[Direct Expenses]]-InvoiceYr2[[#This Row],[Direct Expenses]]</f>
        <v>3518.0800000000017</v>
      </c>
      <c r="F19" s="10">
        <f>BudgetYr2[[#This Row],[Support Costs]]-InvoiceYr2[[#This Row],[Support Costs]]</f>
        <v>6527.5</v>
      </c>
      <c r="G19" s="10">
        <f>BudgetYr2[[#This Row],[Consultant Cost]]-InvoiceYr2[[#This Row],[Consultant Cost]]</f>
        <v>77000</v>
      </c>
      <c r="H19" s="10">
        <f>BudgetYr2[[#This Row],[FHWA Consultant Cost_OLD]]-InvoiceYr2[[#This Row],[FHWA Consultant Cost_OLD]]</f>
        <v>0</v>
      </c>
      <c r="I19" s="10">
        <f>BudgetYr2[[#This Row],[FTA Consultant Costs _OLD]]-InvoiceYr2[[#This Row],[FTA Consultant Costs _OLD]]</f>
        <v>0</v>
      </c>
      <c r="J19" s="10">
        <f>BudgetYr2[[#This Row],[FHWA_Staff_Other_OLD]]-InvoiceYr2[[#This Row],[FHWA_Staff_Other_OLD]]</f>
        <v>0</v>
      </c>
      <c r="K19" s="10">
        <f>BudgetYr2[[#This Row],[FTA_Staff_Other_Old]]-InvoiceYr2[[#This Row],[FTA_Staff_Other_Old]]</f>
        <v>0</v>
      </c>
      <c r="L19" s="10">
        <f>BudgetYr2[[#This Row],[FHWA Consultant Cost New]]-InvoiceYr2[[#This Row],[FHWA Consultant Cost New]]</f>
        <v>0</v>
      </c>
      <c r="M19" s="10">
        <f>BudgetYr2[[#This Row],[FTA Consultant Costs New]]-InvoiceYr2[[#This Row],[FTA Consultant Costs New]]</f>
        <v>77000</v>
      </c>
      <c r="N19" s="10">
        <f>BudgetYr2[[#This Row],[FHWA_Staff_Other New]]-InvoiceYr2[[#This Row],[FHWA_Staff_Other New]]</f>
        <v>8472.1759036144649</v>
      </c>
      <c r="O19" s="10">
        <f>BudgetYr2[[#This Row],[FTA_Staff_Other New]]-InvoiceYr2[[#This Row],[FTA_Staff_Other New]]</f>
        <v>1573.4040963855423</v>
      </c>
    </row>
    <row r="20" spans="1:15" x14ac:dyDescent="0.25">
      <c r="A20" s="16" t="s">
        <v>113</v>
      </c>
      <c r="B20" t="s">
        <v>24</v>
      </c>
      <c r="C20" s="16" t="s">
        <v>31</v>
      </c>
      <c r="D20" s="10">
        <f>BudgetYr2[[#This Row],[Staff Cost]]-InvoiceYr2[[#This Row],[Staff Cost]]</f>
        <v>0</v>
      </c>
      <c r="E20" s="10">
        <f>BudgetYr2[[#This Row],[Direct Expenses]]-InvoiceYr2[[#This Row],[Direct Expenses]]</f>
        <v>0</v>
      </c>
      <c r="F20" s="10">
        <f>BudgetYr2[[#This Row],[Support Costs]]-InvoiceYr2[[#This Row],[Support Costs]]</f>
        <v>0</v>
      </c>
      <c r="G20" s="10">
        <f>BudgetYr2[[#This Row],[Consultant Cost]]-InvoiceYr2[[#This Row],[Consultant Cost]]</f>
        <v>0</v>
      </c>
      <c r="H20" s="10">
        <f>BudgetYr2[[#This Row],[FHWA Consultant Cost_OLD]]-InvoiceYr2[[#This Row],[FHWA Consultant Cost_OLD]]</f>
        <v>0</v>
      </c>
      <c r="I20" s="10">
        <f>BudgetYr2[[#This Row],[FTA Consultant Costs _OLD]]-InvoiceYr2[[#This Row],[FTA Consultant Costs _OLD]]</f>
        <v>0</v>
      </c>
      <c r="J20" s="10">
        <f>BudgetYr2[[#This Row],[FHWA_Staff_Other_OLD]]-InvoiceYr2[[#This Row],[FHWA_Staff_Other_OLD]]</f>
        <v>0</v>
      </c>
      <c r="K20" s="10">
        <f>BudgetYr2[[#This Row],[FTA_Staff_Other_Old]]-InvoiceYr2[[#This Row],[FTA_Staff_Other_Old]]</f>
        <v>0</v>
      </c>
      <c r="L20" s="10">
        <f>BudgetYr2[[#This Row],[FHWA Consultant Cost New]]-InvoiceYr2[[#This Row],[FHWA Consultant Cost New]]</f>
        <v>0</v>
      </c>
      <c r="M20" s="10">
        <f>BudgetYr2[[#This Row],[FTA Consultant Costs New]]-InvoiceYr2[[#This Row],[FTA Consultant Costs New]]</f>
        <v>0</v>
      </c>
      <c r="N20" s="10">
        <f>BudgetYr2[[#This Row],[FHWA_Staff_Other New]]-InvoiceYr2[[#This Row],[FHWA_Staff_Other New]]</f>
        <v>0</v>
      </c>
      <c r="O20" s="10">
        <f>BudgetYr2[[#This Row],[FTA_Staff_Other New]]-InvoiceYr2[[#This Row],[FTA_Staff_Other New]]</f>
        <v>0</v>
      </c>
    </row>
    <row r="21" spans="1:15" x14ac:dyDescent="0.25">
      <c r="A21" s="16" t="s">
        <v>124</v>
      </c>
      <c r="B21" t="s">
        <v>24</v>
      </c>
      <c r="C21" s="16" t="s">
        <v>32</v>
      </c>
      <c r="D21" s="10">
        <f>BudgetYr2[[#This Row],[Staff Cost]]-InvoiceYr2[[#This Row],[Staff Cost]]</f>
        <v>0</v>
      </c>
      <c r="E21" s="10">
        <f>BudgetYr2[[#This Row],[Direct Expenses]]-InvoiceYr2[[#This Row],[Direct Expenses]]</f>
        <v>0</v>
      </c>
      <c r="F21" s="10">
        <f>BudgetYr2[[#This Row],[Support Costs]]-InvoiceYr2[[#This Row],[Support Costs]]</f>
        <v>1046.5200000000004</v>
      </c>
      <c r="G21" s="10">
        <f>BudgetYr2[[#This Row],[Consultant Cost]]-InvoiceYr2[[#This Row],[Consultant Cost]]</f>
        <v>0</v>
      </c>
      <c r="H21" s="10">
        <f>BudgetYr2[[#This Row],[FHWA Consultant Cost_OLD]]-InvoiceYr2[[#This Row],[FHWA Consultant Cost_OLD]]</f>
        <v>0</v>
      </c>
      <c r="I21" s="10">
        <f>BudgetYr2[[#This Row],[FTA Consultant Costs _OLD]]-InvoiceYr2[[#This Row],[FTA Consultant Costs _OLD]]</f>
        <v>0</v>
      </c>
      <c r="J21" s="10">
        <f>BudgetYr2[[#This Row],[FHWA_Staff_Other_OLD]]-InvoiceYr2[[#This Row],[FHWA_Staff_Other_OLD]]</f>
        <v>0</v>
      </c>
      <c r="K21" s="10">
        <f>BudgetYr2[[#This Row],[FTA_Staff_Other_Old]]-InvoiceYr2[[#This Row],[FTA_Staff_Other_Old]]</f>
        <v>0</v>
      </c>
      <c r="L21" s="10">
        <f>BudgetYr2[[#This Row],[FHWA Consultant Cost New]]-InvoiceYr2[[#This Row],[FHWA Consultant Cost New]]</f>
        <v>0</v>
      </c>
      <c r="M21" s="10">
        <f>BudgetYr2[[#This Row],[FTA Consultant Costs New]]-InvoiceYr2[[#This Row],[FTA Consultant Costs New]]</f>
        <v>0</v>
      </c>
      <c r="N21" s="10">
        <f>BudgetYr2[[#This Row],[FHWA_Staff_Other New]]-InvoiceYr2[[#This Row],[FHWA_Staff_Other New]]</f>
        <v>882.60722891567275</v>
      </c>
      <c r="O21" s="10">
        <f>BudgetYr2[[#This Row],[FTA_Staff_Other New]]-InvoiceYr2[[#This Row],[FTA_Staff_Other New]]</f>
        <v>163.91277108434588</v>
      </c>
    </row>
    <row r="22" spans="1:15" x14ac:dyDescent="0.25">
      <c r="A22" s="16" t="s">
        <v>114</v>
      </c>
      <c r="B22" t="s">
        <v>24</v>
      </c>
      <c r="C22" s="16" t="s">
        <v>33</v>
      </c>
      <c r="D22" s="10">
        <f>BudgetYr2[[#This Row],[Staff Cost]]-InvoiceYr2[[#This Row],[Staff Cost]]</f>
        <v>0</v>
      </c>
      <c r="E22" s="10">
        <f>BudgetYr2[[#This Row],[Direct Expenses]]-InvoiceYr2[[#This Row],[Direct Expenses]]</f>
        <v>0</v>
      </c>
      <c r="F22" s="10">
        <f>BudgetYr2[[#This Row],[Support Costs]]-InvoiceYr2[[#This Row],[Support Costs]]</f>
        <v>0</v>
      </c>
      <c r="G22" s="10">
        <f>BudgetYr2[[#This Row],[Consultant Cost]]-InvoiceYr2[[#This Row],[Consultant Cost]]</f>
        <v>0</v>
      </c>
      <c r="H22" s="10">
        <f>BudgetYr2[[#This Row],[FHWA Consultant Cost_OLD]]-InvoiceYr2[[#This Row],[FHWA Consultant Cost_OLD]]</f>
        <v>0</v>
      </c>
      <c r="I22" s="10">
        <f>BudgetYr2[[#This Row],[FTA Consultant Costs _OLD]]-InvoiceYr2[[#This Row],[FTA Consultant Costs _OLD]]</f>
        <v>0</v>
      </c>
      <c r="J22" s="10">
        <f>BudgetYr2[[#This Row],[FHWA_Staff_Other_OLD]]-InvoiceYr2[[#This Row],[FHWA_Staff_Other_OLD]]</f>
        <v>0</v>
      </c>
      <c r="K22" s="10">
        <f>BudgetYr2[[#This Row],[FTA_Staff_Other_Old]]-InvoiceYr2[[#This Row],[FTA_Staff_Other_Old]]</f>
        <v>0</v>
      </c>
      <c r="L22" s="10">
        <f>BudgetYr2[[#This Row],[FHWA Consultant Cost New]]-InvoiceYr2[[#This Row],[FHWA Consultant Cost New]]</f>
        <v>0</v>
      </c>
      <c r="M22" s="10">
        <f>BudgetYr2[[#This Row],[FTA Consultant Costs New]]-InvoiceYr2[[#This Row],[FTA Consultant Costs New]]</f>
        <v>0</v>
      </c>
      <c r="N22" s="10">
        <f>BudgetYr2[[#This Row],[FHWA_Staff_Other New]]-InvoiceYr2[[#This Row],[FHWA_Staff_Other New]]</f>
        <v>0</v>
      </c>
      <c r="O22" s="10">
        <f>BudgetYr2[[#This Row],[FTA_Staff_Other New]]-InvoiceYr2[[#This Row],[FTA_Staff_Other New]]</f>
        <v>0</v>
      </c>
    </row>
    <row r="23" spans="1:15" x14ac:dyDescent="0.25">
      <c r="A23" s="16" t="s">
        <v>115</v>
      </c>
      <c r="B23" t="s">
        <v>24</v>
      </c>
      <c r="C23" s="16" t="s">
        <v>34</v>
      </c>
      <c r="D23" s="10">
        <f>BudgetYr2[[#This Row],[Staff Cost]]-InvoiceYr2[[#This Row],[Staff Cost]]</f>
        <v>29740.559999999998</v>
      </c>
      <c r="E23" s="10">
        <f>BudgetYr2[[#This Row],[Direct Expenses]]-InvoiceYr2[[#This Row],[Direct Expenses]]</f>
        <v>0</v>
      </c>
      <c r="F23" s="10">
        <f>BudgetYr2[[#This Row],[Support Costs]]-InvoiceYr2[[#This Row],[Support Costs]]</f>
        <v>0</v>
      </c>
      <c r="G23" s="10">
        <f>BudgetYr2[[#This Row],[Consultant Cost]]-InvoiceYr2[[#This Row],[Consultant Cost]]</f>
        <v>0</v>
      </c>
      <c r="H23" s="10">
        <f>BudgetYr2[[#This Row],[FHWA Consultant Cost_OLD]]-InvoiceYr2[[#This Row],[FHWA Consultant Cost_OLD]]</f>
        <v>0</v>
      </c>
      <c r="I23" s="10">
        <f>BudgetYr2[[#This Row],[FTA Consultant Costs _OLD]]-InvoiceYr2[[#This Row],[FTA Consultant Costs _OLD]]</f>
        <v>0</v>
      </c>
      <c r="J23" s="10">
        <f>BudgetYr2[[#This Row],[FHWA_Staff_Other_OLD]]-InvoiceYr2[[#This Row],[FHWA_Staff_Other_OLD]]</f>
        <v>0</v>
      </c>
      <c r="K23" s="10">
        <f>BudgetYr2[[#This Row],[FTA_Staff_Other_Old]]-InvoiceYr2[[#This Row],[FTA_Staff_Other_Old]]</f>
        <v>0</v>
      </c>
      <c r="L23" s="10">
        <f>BudgetYr2[[#This Row],[FHWA Consultant Cost New]]-InvoiceYr2[[#This Row],[FHWA Consultant Cost New]]</f>
        <v>0</v>
      </c>
      <c r="M23" s="10">
        <f>BudgetYr2[[#This Row],[FTA Consultant Costs New]]-InvoiceYr2[[#This Row],[FTA Consultant Costs New]]</f>
        <v>0</v>
      </c>
      <c r="N23" s="10">
        <f>BudgetYr2[[#This Row],[FHWA_Staff_Other New]]-InvoiceYr2[[#This Row],[FHWA_Staff_Other New]]</f>
        <v>25082.399999999965</v>
      </c>
      <c r="O23" s="10">
        <f>BudgetYr2[[#This Row],[FTA_Staff_Other New]]-InvoiceYr2[[#This Row],[FTA_Staff_Other New]]</f>
        <v>4658.1599999999962</v>
      </c>
    </row>
    <row r="24" spans="1:15" x14ac:dyDescent="0.25">
      <c r="A24" s="16" t="s">
        <v>116</v>
      </c>
      <c r="B24" t="s">
        <v>24</v>
      </c>
      <c r="C24" s="16" t="s">
        <v>35</v>
      </c>
      <c r="D24" s="10">
        <f>BudgetYr2[[#This Row],[Staff Cost]]-InvoiceYr2[[#This Row],[Staff Cost]]</f>
        <v>0</v>
      </c>
      <c r="E24" s="10">
        <f>BudgetYr2[[#This Row],[Direct Expenses]]-InvoiceYr2[[#This Row],[Direct Expenses]]</f>
        <v>3398.7000000000007</v>
      </c>
      <c r="F24" s="10">
        <f>BudgetYr2[[#This Row],[Support Costs]]-InvoiceYr2[[#This Row],[Support Costs]]</f>
        <v>0</v>
      </c>
      <c r="G24" s="10">
        <f>BudgetYr2[[#This Row],[Consultant Cost]]-InvoiceYr2[[#This Row],[Consultant Cost]]</f>
        <v>0</v>
      </c>
      <c r="H24" s="10">
        <f>BudgetYr2[[#This Row],[FHWA Consultant Cost_OLD]]-InvoiceYr2[[#This Row],[FHWA Consultant Cost_OLD]]</f>
        <v>0</v>
      </c>
      <c r="I24" s="10">
        <f>BudgetYr2[[#This Row],[FTA Consultant Costs _OLD]]-InvoiceYr2[[#This Row],[FTA Consultant Costs _OLD]]</f>
        <v>0</v>
      </c>
      <c r="J24" s="10">
        <f>BudgetYr2[[#This Row],[FHWA_Staff_Other_OLD]]-InvoiceYr2[[#This Row],[FHWA_Staff_Other_OLD]]</f>
        <v>0</v>
      </c>
      <c r="K24" s="10">
        <f>BudgetYr2[[#This Row],[FTA_Staff_Other_Old]]-InvoiceYr2[[#This Row],[FTA_Staff_Other_Old]]</f>
        <v>0</v>
      </c>
      <c r="L24" s="10">
        <f>BudgetYr2[[#This Row],[FHWA Consultant Cost New]]-InvoiceYr2[[#This Row],[FHWA Consultant Cost New]]</f>
        <v>0</v>
      </c>
      <c r="M24" s="10">
        <f>BudgetYr2[[#This Row],[FTA Consultant Costs New]]-InvoiceYr2[[#This Row],[FTA Consultant Costs New]]</f>
        <v>0</v>
      </c>
      <c r="N24" s="10">
        <f>BudgetYr2[[#This Row],[FHWA_Staff_Other New]]-InvoiceYr2[[#This Row],[FHWA_Staff_Other New]]</f>
        <v>2866.3734939759051</v>
      </c>
      <c r="O24" s="10">
        <f>BudgetYr2[[#This Row],[FTA_Staff_Other New]]-InvoiceYr2[[#This Row],[FTA_Staff_Other New]]</f>
        <v>532.32650602409649</v>
      </c>
    </row>
    <row r="25" spans="1:15" x14ac:dyDescent="0.25">
      <c r="A25" s="16" t="s">
        <v>44</v>
      </c>
      <c r="B25" t="s">
        <v>24</v>
      </c>
      <c r="C25" s="16" t="s">
        <v>36</v>
      </c>
      <c r="D25" s="10">
        <f>BudgetYr2[[#This Row],[Staff Cost]]-InvoiceYr2[[#This Row],[Staff Cost]]</f>
        <v>0</v>
      </c>
      <c r="E25" s="10">
        <f>BudgetYr2[[#This Row],[Direct Expenses]]-InvoiceYr2[[#This Row],[Direct Expenses]]</f>
        <v>0</v>
      </c>
      <c r="F25" s="10">
        <f>BudgetYr2[[#This Row],[Support Costs]]-InvoiceYr2[[#This Row],[Support Costs]]</f>
        <v>0</v>
      </c>
      <c r="G25" s="10">
        <f>BudgetYr2[[#This Row],[Consultant Cost]]-InvoiceYr2[[#This Row],[Consultant Cost]]</f>
        <v>0</v>
      </c>
      <c r="H25" s="10">
        <f>BudgetYr2[[#This Row],[FHWA Consultant Cost_OLD]]-InvoiceYr2[[#This Row],[FHWA Consultant Cost_OLD]]</f>
        <v>0</v>
      </c>
      <c r="I25" s="10">
        <f>BudgetYr2[[#This Row],[FTA Consultant Costs _OLD]]-InvoiceYr2[[#This Row],[FTA Consultant Costs _OLD]]</f>
        <v>0</v>
      </c>
      <c r="J25" s="10">
        <f>BudgetYr2[[#This Row],[FHWA_Staff_Other_OLD]]-InvoiceYr2[[#This Row],[FHWA_Staff_Other_OLD]]</f>
        <v>0</v>
      </c>
      <c r="K25" s="10">
        <f>BudgetYr2[[#This Row],[FTA_Staff_Other_Old]]-InvoiceYr2[[#This Row],[FTA_Staff_Other_Old]]</f>
        <v>0</v>
      </c>
      <c r="L25" s="10">
        <f>BudgetYr2[[#This Row],[FHWA Consultant Cost New]]-InvoiceYr2[[#This Row],[FHWA Consultant Cost New]]</f>
        <v>0</v>
      </c>
      <c r="M25" s="10">
        <f>BudgetYr2[[#This Row],[FTA Consultant Costs New]]-InvoiceYr2[[#This Row],[FTA Consultant Costs New]]</f>
        <v>0</v>
      </c>
      <c r="N25" s="10">
        <f>BudgetYr2[[#This Row],[FHWA_Staff_Other New]]-InvoiceYr2[[#This Row],[FHWA_Staff_Other New]]</f>
        <v>0</v>
      </c>
      <c r="O25" s="10">
        <f>BudgetYr2[[#This Row],[FTA_Staff_Other New]]-InvoiceYr2[[#This Row],[FTA_Staff_Other New]]</f>
        <v>0</v>
      </c>
    </row>
    <row r="26" spans="1:15" x14ac:dyDescent="0.25">
      <c r="A26" s="16" t="s">
        <v>45</v>
      </c>
      <c r="B26" t="s">
        <v>24</v>
      </c>
      <c r="C26" s="16" t="s">
        <v>37</v>
      </c>
      <c r="D26" s="10">
        <f>BudgetYr2[[#This Row],[Staff Cost]]-InvoiceYr2[[#This Row],[Staff Cost]]</f>
        <v>35418.459999999992</v>
      </c>
      <c r="E26" s="10">
        <f>BudgetYr2[[#This Row],[Direct Expenses]]-InvoiceYr2[[#This Row],[Direct Expenses]]</f>
        <v>107.90999999999985</v>
      </c>
      <c r="F26" s="10">
        <f>BudgetYr2[[#This Row],[Support Costs]]-InvoiceYr2[[#This Row],[Support Costs]]</f>
        <v>498.86000000000058</v>
      </c>
      <c r="G26" s="10">
        <f>BudgetYr2[[#This Row],[Consultant Cost]]-InvoiceYr2[[#This Row],[Consultant Cost]]</f>
        <v>0</v>
      </c>
      <c r="H26" s="10">
        <f>BudgetYr2[[#This Row],[FHWA Consultant Cost_OLD]]-InvoiceYr2[[#This Row],[FHWA Consultant Cost_OLD]]</f>
        <v>0</v>
      </c>
      <c r="I26" s="10">
        <f>BudgetYr2[[#This Row],[FTA Consultant Costs _OLD]]-InvoiceYr2[[#This Row],[FTA Consultant Costs _OLD]]</f>
        <v>0</v>
      </c>
      <c r="J26" s="10">
        <f>BudgetYr2[[#This Row],[FHWA_Staff_Other_OLD]]-InvoiceYr2[[#This Row],[FHWA_Staff_Other_OLD]]</f>
        <v>0</v>
      </c>
      <c r="K26" s="10">
        <f>BudgetYr2[[#This Row],[FTA_Staff_Other_Old]]-InvoiceYr2[[#This Row],[FTA_Staff_Other_Old]]</f>
        <v>0</v>
      </c>
      <c r="L26" s="10">
        <f>BudgetYr2[[#This Row],[FHWA Consultant Cost New]]-InvoiceYr2[[#This Row],[FHWA Consultant Cost New]]</f>
        <v>0</v>
      </c>
      <c r="M26" s="10">
        <f>BudgetYr2[[#This Row],[FTA Consultant Costs New]]-InvoiceYr2[[#This Row],[FTA Consultant Costs New]]</f>
        <v>0</v>
      </c>
      <c r="N26" s="10">
        <f>BudgetYr2[[#This Row],[FHWA_Staff_Other New]]-InvoiceYr2[[#This Row],[FHWA_Staff_Other New]]</f>
        <v>30382.724096385529</v>
      </c>
      <c r="O26" s="10">
        <f>BudgetYr2[[#This Row],[FTA_Staff_Other New]]-InvoiceYr2[[#This Row],[FTA_Staff_Other New]]</f>
        <v>5642.5059036144557</v>
      </c>
    </row>
    <row r="27" spans="1:15" x14ac:dyDescent="0.25">
      <c r="A27" s="16" t="s">
        <v>128</v>
      </c>
      <c r="B27" t="s">
        <v>24</v>
      </c>
      <c r="C27" s="16" t="s">
        <v>125</v>
      </c>
      <c r="D27" s="10">
        <f>BudgetYr2[[#This Row],[Staff Cost]]-InvoiceYr2[[#This Row],[Staff Cost]]</f>
        <v>0</v>
      </c>
      <c r="E27" s="10">
        <f>BudgetYr2[[#This Row],[Direct Expenses]]-InvoiceYr2[[#This Row],[Direct Expenses]]</f>
        <v>0</v>
      </c>
      <c r="F27" s="10">
        <f>BudgetYr2[[#This Row],[Support Costs]]-InvoiceYr2[[#This Row],[Support Costs]]</f>
        <v>0</v>
      </c>
      <c r="G27" s="10">
        <f>BudgetYr2[[#This Row],[Consultant Cost]]-InvoiceYr2[[#This Row],[Consultant Cost]]</f>
        <v>0</v>
      </c>
      <c r="H27" s="10">
        <f>BudgetYr2[[#This Row],[FHWA Consultant Cost_OLD]]-InvoiceYr2[[#This Row],[FHWA Consultant Cost_OLD]]</f>
        <v>0</v>
      </c>
      <c r="I27" s="10">
        <f>BudgetYr2[[#This Row],[FTA Consultant Costs _OLD]]-InvoiceYr2[[#This Row],[FTA Consultant Costs _OLD]]</f>
        <v>0</v>
      </c>
      <c r="J27" s="10">
        <f>BudgetYr2[[#This Row],[FHWA_Staff_Other_OLD]]-InvoiceYr2[[#This Row],[FHWA_Staff_Other_OLD]]</f>
        <v>0</v>
      </c>
      <c r="K27" s="10">
        <f>BudgetYr2[[#This Row],[FTA_Staff_Other_Old]]-InvoiceYr2[[#This Row],[FTA_Staff_Other_Old]]</f>
        <v>0</v>
      </c>
      <c r="L27" s="10">
        <f>BudgetYr2[[#This Row],[FHWA Consultant Cost New]]-InvoiceYr2[[#This Row],[FHWA Consultant Cost New]]</f>
        <v>0</v>
      </c>
      <c r="M27" s="10">
        <f>BudgetYr2[[#This Row],[FTA Consultant Costs New]]-InvoiceYr2[[#This Row],[FTA Consultant Costs New]]</f>
        <v>0</v>
      </c>
      <c r="N27" s="10">
        <f>BudgetYr2[[#This Row],[FHWA_Staff_Other New]]-InvoiceYr2[[#This Row],[FHWA_Staff_Other New]]</f>
        <v>0</v>
      </c>
      <c r="O27" s="10">
        <f>BudgetYr2[[#This Row],[FTA_Staff_Other New]]-InvoiceYr2[[#This Row],[FTA_Staff_Other New]]</f>
        <v>0</v>
      </c>
    </row>
    <row r="28" spans="1:15" x14ac:dyDescent="0.25">
      <c r="A28" s="16" t="s">
        <v>129</v>
      </c>
      <c r="B28" t="s">
        <v>24</v>
      </c>
      <c r="C28" s="16" t="s">
        <v>126</v>
      </c>
      <c r="D28" s="10">
        <f>BudgetYr2[[#This Row],[Staff Cost]]-InvoiceYr2[[#This Row],[Staff Cost]]</f>
        <v>0</v>
      </c>
      <c r="E28" s="10">
        <f>BudgetYr2[[#This Row],[Direct Expenses]]-InvoiceYr2[[#This Row],[Direct Expenses]]</f>
        <v>1933.3000000000029</v>
      </c>
      <c r="F28" s="10">
        <f>BudgetYr2[[#This Row],[Support Costs]]-InvoiceYr2[[#This Row],[Support Costs]]</f>
        <v>287114.32</v>
      </c>
      <c r="G28" s="10">
        <f>BudgetYr2[[#This Row],[Consultant Cost]]-InvoiceYr2[[#This Row],[Consultant Cost]]</f>
        <v>0</v>
      </c>
      <c r="H28" s="10">
        <f>BudgetYr2[[#This Row],[FHWA Consultant Cost_OLD]]-InvoiceYr2[[#This Row],[FHWA Consultant Cost_OLD]]</f>
        <v>0</v>
      </c>
      <c r="I28" s="10">
        <f>BudgetYr2[[#This Row],[FTA Consultant Costs _OLD]]-InvoiceYr2[[#This Row],[FTA Consultant Costs _OLD]]</f>
        <v>0</v>
      </c>
      <c r="J28" s="10">
        <f>BudgetYr2[[#This Row],[FHWA_Staff_Other_OLD]]-InvoiceYr2[[#This Row],[FHWA_Staff_Other_OLD]]</f>
        <v>0</v>
      </c>
      <c r="K28" s="10">
        <f>BudgetYr2[[#This Row],[FTA_Staff_Other_Old]]-InvoiceYr2[[#This Row],[FTA_Staff_Other_Old]]</f>
        <v>0</v>
      </c>
      <c r="L28" s="10">
        <f>BudgetYr2[[#This Row],[FHWA Consultant Cost New]]-InvoiceYr2[[#This Row],[FHWA Consultant Cost New]]</f>
        <v>0</v>
      </c>
      <c r="M28" s="10">
        <f>BudgetYr2[[#This Row],[FTA Consultant Costs New]]-InvoiceYr2[[#This Row],[FTA Consultant Costs New]]</f>
        <v>0</v>
      </c>
      <c r="N28" s="10">
        <f>BudgetYr2[[#This Row],[FHWA_Staff_Other New]]-InvoiceYr2[[#This Row],[FHWA_Staff_Other New]]</f>
        <v>243775.10120481928</v>
      </c>
      <c r="O28" s="10">
        <f>BudgetYr2[[#This Row],[FTA_Staff_Other New]]-InvoiceYr2[[#This Row],[FTA_Staff_Other New]]</f>
        <v>45272.518795180731</v>
      </c>
    </row>
    <row r="29" spans="1:15" x14ac:dyDescent="0.25">
      <c r="D29" s="32">
        <f>SUM(InvoiceYr229[Staff Cost])</f>
        <v>215388.99999999991</v>
      </c>
      <c r="E29" s="32">
        <f>SUM(InvoiceYr229[Direct Expenses])</f>
        <v>36699.010000000009</v>
      </c>
      <c r="F29" s="32">
        <f>SUM(InvoiceYr229[Support Costs])</f>
        <v>337706.77</v>
      </c>
      <c r="G29" s="32">
        <f>SUM(InvoiceYr229[Consultant Cost])</f>
        <v>517000</v>
      </c>
      <c r="H29" s="32">
        <f>SUM(InvoiceYr229[FHWA Consultant Cost_OLD])</f>
        <v>0</v>
      </c>
      <c r="I29" s="32">
        <f>SUM(InvoiceYr229[FTA Consultant Costs _OLD])</f>
        <v>0</v>
      </c>
      <c r="J29" s="32">
        <f>SUM(InvoiceYr229[FHWA_Staff_Other_OLD])</f>
        <v>0</v>
      </c>
      <c r="K29" s="32">
        <f>SUM(InvoiceYr229[FTA_Staff_Other_Old])</f>
        <v>0</v>
      </c>
      <c r="L29" s="32">
        <f>SUM(InvoiceYr229[FHWA Consultant Cost New])</f>
        <v>940000</v>
      </c>
      <c r="M29" s="32">
        <f>SUM(InvoiceYr229[FTA Consultant Costs New])</f>
        <v>77000</v>
      </c>
      <c r="N29" s="32">
        <f>SUM(InvoiceYr229[FHWA_Staff_Other New])</f>
        <v>497417.28433734941</v>
      </c>
      <c r="O29" s="32">
        <f>SUM(InvoiceYr229[FTA_Staff_Other New])</f>
        <v>92377.495662650617</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B6C37-200E-47E9-B921-050AB6DA671A}">
  <dimension ref="A1:K7"/>
  <sheetViews>
    <sheetView workbookViewId="0">
      <selection activeCell="I20" sqref="I20"/>
    </sheetView>
  </sheetViews>
  <sheetFormatPr defaultRowHeight="15" x14ac:dyDescent="0.25"/>
  <cols>
    <col min="1" max="1" width="13.5703125" bestFit="1" customWidth="1"/>
    <col min="2" max="2" width="11.140625" bestFit="1" customWidth="1"/>
    <col min="3" max="3" width="9.5703125" bestFit="1" customWidth="1"/>
    <col min="4" max="4" width="17" bestFit="1" customWidth="1"/>
    <col min="5" max="5" width="13" bestFit="1" customWidth="1"/>
    <col min="6" max="6" width="13.28515625" bestFit="1" customWidth="1"/>
    <col min="7" max="7" width="15.140625" bestFit="1" customWidth="1"/>
    <col min="8" max="8" width="10.85546875" bestFit="1" customWidth="1"/>
    <col min="9" max="9" width="8.5703125" bestFit="1" customWidth="1"/>
    <col min="10" max="10" width="24.140625" bestFit="1" customWidth="1"/>
    <col min="11" max="11" width="21.7109375" bestFit="1" customWidth="1"/>
  </cols>
  <sheetData>
    <row r="1" spans="1:11" x14ac:dyDescent="0.25">
      <c r="A1" t="s">
        <v>56</v>
      </c>
      <c r="B1" t="s">
        <v>57</v>
      </c>
      <c r="C1" t="s">
        <v>25</v>
      </c>
      <c r="D1" t="s">
        <v>21</v>
      </c>
      <c r="E1" t="s">
        <v>130</v>
      </c>
      <c r="F1" t="s">
        <v>64</v>
      </c>
      <c r="G1" t="s">
        <v>110</v>
      </c>
      <c r="H1" t="s">
        <v>75</v>
      </c>
      <c r="I1" t="s">
        <v>76</v>
      </c>
      <c r="J1" t="s">
        <v>103</v>
      </c>
      <c r="K1" t="s">
        <v>104</v>
      </c>
    </row>
    <row r="2" spans="1:11" x14ac:dyDescent="0.25">
      <c r="A2" t="s">
        <v>74</v>
      </c>
      <c r="B2" t="s">
        <v>70</v>
      </c>
      <c r="C2" t="s">
        <v>45</v>
      </c>
      <c r="D2" t="s">
        <v>23</v>
      </c>
      <c r="E2">
        <v>2021</v>
      </c>
      <c r="F2" s="22">
        <f>SUM(ConsultantChargesYr230[[#This Row],[FHWA_Consultant Cost]:[FTA_Consultant Cost]])</f>
        <v>0</v>
      </c>
      <c r="G2" s="25">
        <v>1</v>
      </c>
      <c r="H2" s="9">
        <v>1</v>
      </c>
      <c r="I2" s="9">
        <v>0</v>
      </c>
      <c r="J2" s="11">
        <f>ConsultantYr2[[#This Row],[FHWA_Consultant Cost]]-ConsultantChargesYr2[[#This Row],[FHWA_Consultant Cost]]</f>
        <v>0</v>
      </c>
      <c r="K2" s="11">
        <f>ConsultantYr2[[#This Row],[FTA_Consultant Cost]]-ConsultantChargesYr2[[#This Row],[FTA_Consultant Cost]]</f>
        <v>0</v>
      </c>
    </row>
    <row r="3" spans="1:11" x14ac:dyDescent="0.25">
      <c r="A3" t="s">
        <v>74</v>
      </c>
      <c r="B3" t="s">
        <v>70</v>
      </c>
      <c r="C3" t="s">
        <v>44</v>
      </c>
      <c r="D3" t="s">
        <v>24</v>
      </c>
      <c r="E3">
        <v>2021</v>
      </c>
      <c r="F3" s="22">
        <f>SUM(ConsultantChargesYr230[[#This Row],[FHWA_Consultant Cost]:[FTA_Consultant Cost]])</f>
        <v>0</v>
      </c>
      <c r="G3" s="25">
        <v>1</v>
      </c>
      <c r="H3" s="9">
        <v>1</v>
      </c>
      <c r="I3" s="9">
        <v>0</v>
      </c>
      <c r="J3" s="11">
        <f>ConsultantYr2[[#This Row],[FHWA_Consultant Cost]]-ConsultantChargesYr2[[#This Row],[FHWA_Consultant Cost]]</f>
        <v>0</v>
      </c>
      <c r="K3" s="11">
        <f>ConsultantYr2[[#This Row],[FTA_Consultant Cost]]-ConsultantChargesYr2[[#This Row],[FTA_Consultant Cost]]</f>
        <v>0</v>
      </c>
    </row>
    <row r="4" spans="1:11" x14ac:dyDescent="0.25">
      <c r="A4" t="s">
        <v>74</v>
      </c>
      <c r="B4" t="s">
        <v>70</v>
      </c>
      <c r="C4" t="s">
        <v>45</v>
      </c>
      <c r="D4" t="s">
        <v>22</v>
      </c>
      <c r="E4">
        <v>2021</v>
      </c>
      <c r="F4" s="22">
        <f>SUM(ConsultantChargesYr230[[#This Row],[FHWA_Consultant Cost]:[FTA_Consultant Cost]])</f>
        <v>0</v>
      </c>
      <c r="G4" s="25">
        <v>1</v>
      </c>
      <c r="H4" s="9">
        <v>0.5</v>
      </c>
      <c r="I4" s="9">
        <v>0.5</v>
      </c>
      <c r="J4" s="11">
        <f>ConsultantYr2[[#This Row],[FHWA_Consultant Cost]]-ConsultantChargesYr2[[#This Row],[FHWA_Consultant Cost]]</f>
        <v>0</v>
      </c>
      <c r="K4" s="11">
        <f>ConsultantYr2[[#This Row],[FTA_Consultant Cost]]-ConsultantChargesYr2[[#This Row],[FTA_Consultant Cost]]</f>
        <v>0</v>
      </c>
    </row>
    <row r="5" spans="1:11" x14ac:dyDescent="0.25">
      <c r="A5" t="s">
        <v>74</v>
      </c>
      <c r="B5" t="s">
        <v>70</v>
      </c>
      <c r="C5" s="16" t="s">
        <v>128</v>
      </c>
      <c r="D5" t="s">
        <v>22</v>
      </c>
      <c r="E5">
        <v>2022</v>
      </c>
      <c r="F5" s="22">
        <f>SUM(ConsultantChargesYr230[[#This Row],[FHWA_Consultant Cost]:[FTA_Consultant Cost]])</f>
        <v>940000</v>
      </c>
      <c r="G5" s="9">
        <v>0.56000000000000005</v>
      </c>
      <c r="H5" s="9">
        <v>1</v>
      </c>
      <c r="I5" s="9">
        <v>0</v>
      </c>
      <c r="J5" s="11">
        <f>ConsultantYr2[[#This Row],[FHWA_Consultant Cost]]-ConsultantChargesYr2[[#This Row],[FHWA_Consultant Cost]]</f>
        <v>940000</v>
      </c>
      <c r="K5" s="11">
        <f>ConsultantYr2[[#This Row],[FTA_Consultant Cost]]-ConsultantChargesYr2[[#This Row],[FTA_Consultant Cost]]</f>
        <v>0</v>
      </c>
    </row>
    <row r="6" spans="1:11" x14ac:dyDescent="0.25">
      <c r="A6" t="s">
        <v>74</v>
      </c>
      <c r="B6" t="s">
        <v>70</v>
      </c>
      <c r="C6" s="16" t="s">
        <v>129</v>
      </c>
      <c r="D6" t="s">
        <v>23</v>
      </c>
      <c r="E6">
        <v>2022</v>
      </c>
      <c r="F6" s="22">
        <f>SUM(ConsultantChargesYr230[[#This Row],[FHWA_Consultant Cost]:[FTA_Consultant Cost]])</f>
        <v>77000</v>
      </c>
      <c r="G6" s="9">
        <v>0.78</v>
      </c>
      <c r="H6" s="9">
        <v>0</v>
      </c>
      <c r="I6" s="9">
        <v>1</v>
      </c>
      <c r="J6" s="11">
        <f>ConsultantYr2[[#This Row],[FHWA_Consultant Cost]]-ConsultantChargesYr2[[#This Row],[FHWA_Consultant Cost]]</f>
        <v>0</v>
      </c>
      <c r="K6" s="11">
        <f>ConsultantYr2[[#This Row],[FTA_Consultant Cost]]-ConsultantChargesYr2[[#This Row],[FTA_Consultant Cost]]</f>
        <v>77000</v>
      </c>
    </row>
    <row r="7" spans="1:11" x14ac:dyDescent="0.25">
      <c r="F7" s="30">
        <f>SUBTOTAL(109,ConsultantChargesYr230[Cost])</f>
        <v>1017000</v>
      </c>
      <c r="G7" s="31"/>
      <c r="H7" s="31"/>
      <c r="I7" s="31"/>
      <c r="J7" s="11">
        <f>SUM(ConsultantChargesYr230[FHWA_Consultant Cost])</f>
        <v>940000</v>
      </c>
      <c r="K7" s="11">
        <f>SUM(ConsultantChargesYr230[FTA_Consultant Cost])</f>
        <v>77000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AA1E288EF7B140B106B7B7625FA9C2" ma:contentTypeVersion="10" ma:contentTypeDescription="Create a new document." ma:contentTypeScope="" ma:versionID="f84b2e8de69175e550099770168d6b83">
  <xsd:schema xmlns:xsd="http://www.w3.org/2001/XMLSchema" xmlns:xs="http://www.w3.org/2001/XMLSchema" xmlns:p="http://schemas.microsoft.com/office/2006/metadata/properties" xmlns:ns2="ab1ac194-edc8-488e-8cef-142e5eed12f7" xmlns:ns3="d256b03a-4d36-4ba3-bde2-5f739308ddbb" targetNamespace="http://schemas.microsoft.com/office/2006/metadata/properties" ma:root="true" ma:fieldsID="e31340d255d0d7d7d96230c54b9dedc2" ns2:_="" ns3:_="">
    <xsd:import namespace="ab1ac194-edc8-488e-8cef-142e5eed12f7"/>
    <xsd:import namespace="d256b03a-4d36-4ba3-bde2-5f739308dd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ac194-edc8-488e-8cef-142e5eed1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56b03a-4d36-4ba3-bde2-5f739308dd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703E64-9A81-4F3D-9BCB-2688A7DD3D51}">
  <ds:schemaRefs>
    <ds:schemaRef ds:uri="http://www.w3.org/XML/1998/namespace"/>
    <ds:schemaRef ds:uri="d256b03a-4d36-4ba3-bde2-5f739308ddbb"/>
    <ds:schemaRef ds:uri="http://purl.org/dc/elements/1.1/"/>
    <ds:schemaRef ds:uri="ab1ac194-edc8-488e-8cef-142e5eed12f7"/>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3844347-4DE0-4233-B6F6-228DA3611957}">
  <ds:schemaRefs>
    <ds:schemaRef ds:uri="http://schemas.microsoft.com/sharepoint/v3/contenttype/forms"/>
  </ds:schemaRefs>
</ds:datastoreItem>
</file>

<file path=customXml/itemProps3.xml><?xml version="1.0" encoding="utf-8"?>
<ds:datastoreItem xmlns:ds="http://schemas.openxmlformats.org/officeDocument/2006/customXml" ds:itemID="{9D6074F2-12F7-482D-930C-5DB4F5DB4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ac194-edc8-488e-8cef-142e5eed12f7"/>
    <ds:schemaRef ds:uri="d256b03a-4d36-4ba3-bde2-5f739308d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 Page</vt:lpstr>
      <vt:lpstr>Revenue (YR1)</vt:lpstr>
      <vt:lpstr>Projects(YR1)</vt:lpstr>
      <vt:lpstr>Staff(YR1)</vt:lpstr>
      <vt:lpstr>Staff Alloc By Project(YR1)</vt:lpstr>
      <vt:lpstr>Direct Expenses(YR1)</vt:lpstr>
      <vt:lpstr>Support Costs(YR1)</vt:lpstr>
      <vt:lpstr>Consultant(YR1)</vt:lpstr>
      <vt:lpstr>Budget(YR1)</vt:lpstr>
      <vt:lpstr>ConsultantCharges(YR1)</vt:lpstr>
      <vt:lpstr>InvoicesCharges(YR1)</vt:lpstr>
      <vt:lpstr>Progress Report (YR1)</vt:lpstr>
      <vt:lpstr>Remaining Balance(YR1)</vt:lpstr>
      <vt:lpstr>Summary Remaining Balance (YR1)</vt:lpstr>
      <vt:lpstr>Remaining Balance Consult (Yr1)</vt:lpstr>
      <vt:lpstr>Revenue (YR2)</vt:lpstr>
      <vt:lpstr>Project(Yr2)</vt:lpstr>
      <vt:lpstr>Staff(Yr2)</vt:lpstr>
      <vt:lpstr>Staff Allo By Project YR2</vt:lpstr>
      <vt:lpstr>Direct Expenses (Yr2)</vt:lpstr>
      <vt:lpstr>Support Costs(YR2)</vt:lpstr>
      <vt:lpstr>Consultant(YR2)</vt:lpstr>
      <vt:lpstr>Budget(YR2)</vt:lpstr>
      <vt:lpstr>ConsultantCharges(YR2)</vt:lpstr>
      <vt:lpstr>InvoicesCharges(YR2)</vt:lpstr>
      <vt:lpstr>Project Reports (Yr2)</vt:lpstr>
      <vt:lpstr>Balance Remaining (yr2)</vt:lpstr>
      <vt:lpstr>Balance Remaining Consult (yr2)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seitu.allen</dc:creator>
  <cp:lastModifiedBy>Allen, Seitu (DOT)</cp:lastModifiedBy>
  <dcterms:created xsi:type="dcterms:W3CDTF">2020-11-30T23:53:11Z</dcterms:created>
  <dcterms:modified xsi:type="dcterms:W3CDTF">2020-12-02T23:24:29Z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0x01010037AA1E288EF7B140B106B7B7625FA9C2</vt:lpwstr>
  </property>
</Properties>
</file>